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35"/>
  </bookViews>
  <sheets>
    <sheet name="采购控制价汇总" sheetId="4" r:id="rId1"/>
    <sheet name="1-1泉厦高速晋江服务驿站项目（控制价）" sheetId="22" r:id="rId2"/>
  </sheets>
  <definedNames>
    <definedName name="_xlnm._FilterDatabase" localSheetId="1" hidden="1">'1-1泉厦高速晋江服务驿站项目（控制价）'!$A$1:$H$260</definedName>
    <definedName name="_xlnm.Print_Area" localSheetId="0">采购控制价汇总!$A$1:$D$10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<sst xmlns="http://schemas.openxmlformats.org/spreadsheetml/2006/main" count="1459" uniqueCount="839">
  <si>
    <t>泉厦高速晋江服务驿站项目
采购控制价汇总表</t>
  </si>
  <si>
    <t>序号</t>
  </si>
  <si>
    <t>项目名称</t>
  </si>
  <si>
    <t>金额</t>
  </si>
  <si>
    <t>备注</t>
  </si>
  <si>
    <t>一</t>
  </si>
  <si>
    <t>土建单位工程</t>
  </si>
  <si>
    <t>二</t>
  </si>
  <si>
    <t>安装单位工程</t>
  </si>
  <si>
    <t>三</t>
  </si>
  <si>
    <t>室外</t>
  </si>
  <si>
    <t>四</t>
  </si>
  <si>
    <t>暂列金</t>
  </si>
  <si>
    <t>不可竞争费用</t>
  </si>
  <si>
    <t>五</t>
  </si>
  <si>
    <t>安全生产费</t>
  </si>
  <si>
    <t>不可竞争性费用，按照基数（一+二+三+四）*3%取费，据实结算</t>
  </si>
  <si>
    <t>合计</t>
  </si>
  <si>
    <t>取整</t>
  </si>
  <si>
    <t>泉厦高速晋江服务驿站项目</t>
  </si>
  <si>
    <t>一、土建单位工程</t>
  </si>
  <si>
    <t>项目编码</t>
  </si>
  <si>
    <t>项目特征描述</t>
  </si>
  <si>
    <t>计量单位</t>
  </si>
  <si>
    <t>工程量</t>
  </si>
  <si>
    <t>金额（元）</t>
  </si>
  <si>
    <t>综合单价</t>
  </si>
  <si>
    <t>合价</t>
  </si>
  <si>
    <t>1拆除部分</t>
  </si>
  <si>
    <t>1</t>
  </si>
  <si>
    <t>011614009001</t>
  </si>
  <si>
    <t>拆除广告牌</t>
  </si>
  <si>
    <t>尺寸：2.1*0.65*0.16
含广告牌钢构及灯箱、混凝土基础拆除</t>
  </si>
  <si>
    <t>m</t>
  </si>
  <si>
    <t>2.1</t>
  </si>
  <si>
    <t>2</t>
  </si>
  <si>
    <t>011614009002</t>
  </si>
  <si>
    <t>拆除指示标志（高空措施）</t>
  </si>
  <si>
    <t>1.拆除指示标志
2.拆除混凝土基础 小型机械拆除 (无筋)</t>
  </si>
  <si>
    <t>3.8</t>
  </si>
  <si>
    <t>3</t>
  </si>
  <si>
    <t>011609001001</t>
  </si>
  <si>
    <t>拆除防撞护栏</t>
  </si>
  <si>
    <t>1.栏杆、栏板种类和高度:金属栏杆，高度1.4m</t>
  </si>
  <si>
    <t>29</t>
  </si>
  <si>
    <t>4</t>
  </si>
  <si>
    <t>011602001002</t>
  </si>
  <si>
    <t>拆除混凝土门墩</t>
  </si>
  <si>
    <t>尺寸0.8*0.8*2m
1.拆除混凝土基础 小型机械拆除 (无筋)</t>
  </si>
  <si>
    <t>m3</t>
  </si>
  <si>
    <t>1.28</t>
  </si>
  <si>
    <t>5</t>
  </si>
  <si>
    <t>011602001003</t>
  </si>
  <si>
    <t>拆除混凝土基础</t>
  </si>
  <si>
    <t>1.拆除混凝土基础 小型机械拆除 (无筋)</t>
  </si>
  <si>
    <t>2.14</t>
  </si>
  <si>
    <t>6</t>
  </si>
  <si>
    <t>011605001001</t>
  </si>
  <si>
    <t>拆除地面铁片</t>
  </si>
  <si>
    <t>尺寸：0.75*9.9</t>
  </si>
  <si>
    <t>m2</t>
  </si>
  <si>
    <t>7.43</t>
  </si>
  <si>
    <t>7</t>
  </si>
  <si>
    <t>011508002001</t>
  </si>
  <si>
    <t>拆字</t>
  </si>
  <si>
    <t>1.尺寸：单个字0.65*0.8m</t>
  </si>
  <si>
    <t>个</t>
  </si>
  <si>
    <t>8</t>
  </si>
  <si>
    <t>011606002001</t>
  </si>
  <si>
    <t>拆除玻璃膜墙（高空拆除）</t>
  </si>
  <si>
    <t>1.拆除玻璃幕墙 (高空拆除)
2.机械吊车</t>
  </si>
  <si>
    <t>37.37</t>
  </si>
  <si>
    <t>9</t>
  </si>
  <si>
    <t>011610001001</t>
  </si>
  <si>
    <t>门窗及防盗网拆除</t>
  </si>
  <si>
    <t>1.材质:铝合金
2.门窗面积:1.5*1.8</t>
  </si>
  <si>
    <t>樘</t>
  </si>
  <si>
    <t>10</t>
  </si>
  <si>
    <t>050101006001</t>
  </si>
  <si>
    <t>大门口停车位草皮及土方开挖</t>
  </si>
  <si>
    <t>1.起挖草皮 带土厚度 2cm以外
2.挖掘机挖槽坑土方 (装车 三类土)
3.人工挖沟槽土方 (三类土 槽深 2m以内)</t>
  </si>
  <si>
    <t>261</t>
  </si>
  <si>
    <t>11</t>
  </si>
  <si>
    <t>010103001001</t>
  </si>
  <si>
    <t>水池回填</t>
  </si>
  <si>
    <t>1.填方粒径要求:原土回填</t>
  </si>
  <si>
    <t>106.5</t>
  </si>
  <si>
    <t>12</t>
  </si>
  <si>
    <t>01B001002</t>
  </si>
  <si>
    <t>石头移位</t>
  </si>
  <si>
    <t>1.体积分别是1.26m3/1.1m3；含吊车0.5台班</t>
  </si>
  <si>
    <t>块</t>
  </si>
  <si>
    <t>13</t>
  </si>
  <si>
    <t>011614009003</t>
  </si>
  <si>
    <t>拆除指示牌(2.3m高)及基础重做</t>
  </si>
  <si>
    <t>1.拆除箱式钢结构广告牌（灯箱）
2.拆除混凝土障碍物 小型机械拆除 (无筋)
3.人工挖基坑土方 (三类土 坑深 2m以内)
4.C25非泵送混凝土 (独立基础)
5.现浇混凝土胶合板模板 独立基础</t>
  </si>
  <si>
    <t>2.3</t>
  </si>
  <si>
    <t>14</t>
  </si>
  <si>
    <t>011614009004</t>
  </si>
  <si>
    <t>移灯</t>
  </si>
  <si>
    <t>1.拆除混凝土障碍物 小型机械拆除 (无筋)
2.人工挖基坑土方 (三类土 坑深 2m以内)
3.C25非泵送混凝土 (独立基础)
4.现浇混凝土胶合板模板 独立基础</t>
  </si>
  <si>
    <t>盏</t>
  </si>
  <si>
    <t>15</t>
  </si>
  <si>
    <t>01B001015</t>
  </si>
  <si>
    <t>大石头移位</t>
  </si>
  <si>
    <t>1.尺寸：1.7*2.55*0.8m</t>
  </si>
  <si>
    <t>16</t>
  </si>
  <si>
    <t>050101006002</t>
  </si>
  <si>
    <t>中间绿化及土方开挖</t>
  </si>
  <si>
    <t>1.起挖草皮 带土厚度 2cm以外
2.挖掘机挖槽坑土方 (装车 三类土)
3.人工挖基坑土方 (三类土 坑深 2m以内)</t>
  </si>
  <si>
    <t>20</t>
  </si>
  <si>
    <t>17</t>
  </si>
  <si>
    <t>041001005001</t>
  </si>
  <si>
    <t>拆除路沿石</t>
  </si>
  <si>
    <t>1.拆除路沿石(立缘石)(石质 截面半周长50cm以内)</t>
  </si>
  <si>
    <t>42.58</t>
  </si>
  <si>
    <t>18</t>
  </si>
  <si>
    <t>050101001001</t>
  </si>
  <si>
    <t>香蕉树开挖（高度3.55m）</t>
  </si>
  <si>
    <t>1.起挖乔木(带土球) 土球直径(100cm以内)</t>
  </si>
  <si>
    <t>株</t>
  </si>
  <si>
    <t>19</t>
  </si>
  <si>
    <t>011601001001</t>
  </si>
  <si>
    <t>砖砌花池破除</t>
  </si>
  <si>
    <t>1.拆除砖砌其他构筑物</t>
  </si>
  <si>
    <t>040203008001</t>
  </si>
  <si>
    <t>透水砖铺设</t>
  </si>
  <si>
    <t>1.块料品种、规格:8cm透水砖
2.垫层：材料品种、厚度、强度等级:6cm天然中砂</t>
  </si>
  <si>
    <t>2.47</t>
  </si>
  <si>
    <t>21</t>
  </si>
  <si>
    <t>011606002002</t>
  </si>
  <si>
    <t>钢构雨棚拆除</t>
  </si>
  <si>
    <t/>
  </si>
  <si>
    <t>17.03</t>
  </si>
  <si>
    <t>22</t>
  </si>
  <si>
    <t>011602001001</t>
  </si>
  <si>
    <t>混凝土斜坡拆除</t>
  </si>
  <si>
    <t>1.小型机械拆除混凝土类面层 无筋 (厚20cm)</t>
  </si>
  <si>
    <t>10.7</t>
  </si>
  <si>
    <t>23</t>
  </si>
  <si>
    <t>011610001002</t>
  </si>
  <si>
    <t>门窗拆除及封堵</t>
  </si>
  <si>
    <t>1.材质:铝合金
2.门窗面积:0.9*0.9
3.砌体封堵，门窗内侧30厚抹灰，外侧20厚抹灰及涂料粉刷</t>
  </si>
  <si>
    <t>24</t>
  </si>
  <si>
    <t>010401003003</t>
  </si>
  <si>
    <t>花池墙延伸砌筑</t>
  </si>
  <si>
    <t>1、实心砖墙
2、外墙面20厚抹灰及200*50面砖铺贴</t>
  </si>
  <si>
    <t>0.81</t>
  </si>
  <si>
    <t>25</t>
  </si>
  <si>
    <t>011601001002</t>
  </si>
  <si>
    <t>砖砌水沟破除</t>
  </si>
  <si>
    <t>0.62</t>
  </si>
  <si>
    <t>26</t>
  </si>
  <si>
    <t>050101006003</t>
  </si>
  <si>
    <t>草皮开挖及土方开挖</t>
  </si>
  <si>
    <t>19.8</t>
  </si>
  <si>
    <t>27</t>
  </si>
  <si>
    <t>050101003001</t>
  </si>
  <si>
    <t>灌木拆除</t>
  </si>
  <si>
    <t>1.起挖灌木(带土球) 土球直径(50cm以内)</t>
  </si>
  <si>
    <t>28</t>
  </si>
  <si>
    <t>011606002003</t>
  </si>
  <si>
    <t>室外铝板及骨架拆除</t>
  </si>
  <si>
    <t>85.89</t>
  </si>
  <si>
    <t>011605001002</t>
  </si>
  <si>
    <t>地面瓷砖拆除</t>
  </si>
  <si>
    <t>1.拆除块料面层（含结合层、找平层）</t>
  </si>
  <si>
    <t>50.15</t>
  </si>
  <si>
    <t>30</t>
  </si>
  <si>
    <t>011610001003</t>
  </si>
  <si>
    <t>门窗拆除</t>
  </si>
  <si>
    <t>1.拆除整樘钢门窗（面积3.15m2）1樘
2.拆除整樘钢门窗（面积3.28m2）1樘
3.拆除整樘钢门窗（面积5.46m2）1樘
4.拆除整樘钢门窗（面积5.856m2）2樘
5.拆除整樘钢门窗（面积8.11m2）1樘
6.拆除整樘钢门窗（面积8.44m2）2樘
7.拆除整樘钢门窗（面积15.81m2）1樘
8.拆除整樘钢门窗（面积7.905m2）2樘
9.拆除整樘钢门窗（面积2.7m2）2樘
10.拆除整樘钢门窗（面积2.25m2以内）9樘
11.拆除整樘钢门窗（面积4.62m2）2樘
12.拆除整樘钢门窗-玻璃平开门（面积4.2m2）1樘</t>
  </si>
  <si>
    <t>31</t>
  </si>
  <si>
    <t>011614009005</t>
  </si>
  <si>
    <t>1.拆除箱式钢结构广告牌（灯箱）</t>
  </si>
  <si>
    <t>3.86</t>
  </si>
  <si>
    <t>32</t>
  </si>
  <si>
    <t>011606003001</t>
  </si>
  <si>
    <t>拆除吊顶（龙骨及饰面拆除）</t>
  </si>
  <si>
    <t>35.45</t>
  </si>
  <si>
    <t>33</t>
  </si>
  <si>
    <t>01B001016</t>
  </si>
  <si>
    <t>搬运自动贩卖机</t>
  </si>
  <si>
    <t>34</t>
  </si>
  <si>
    <t>011614007001</t>
  </si>
  <si>
    <t>踢脚线拆除</t>
  </si>
  <si>
    <t>17.49</t>
  </si>
  <si>
    <t>35</t>
  </si>
  <si>
    <t>011614002001</t>
  </si>
  <si>
    <t>柜体拆除</t>
  </si>
  <si>
    <t>29.78</t>
  </si>
  <si>
    <t>36</t>
  </si>
  <si>
    <t>01B001017</t>
  </si>
  <si>
    <t>搬桌子</t>
  </si>
  <si>
    <t>1.尺寸：1.2*0.4*0.75m</t>
  </si>
  <si>
    <t>张</t>
  </si>
  <si>
    <t>37</t>
  </si>
  <si>
    <t>01B001018</t>
  </si>
  <si>
    <t>1.尺寸：0.5*1.8*0.75m</t>
  </si>
  <si>
    <t>38</t>
  </si>
  <si>
    <t>011606002005</t>
  </si>
  <si>
    <t>室内铝板及骨架拆除</t>
  </si>
  <si>
    <t>22.95</t>
  </si>
  <si>
    <t>39</t>
  </si>
  <si>
    <t>011610001004</t>
  </si>
  <si>
    <t>1.材质:防盗门
2.砌体封堵，门窗内侧30厚抹灰涂料粉刷</t>
  </si>
  <si>
    <t>40</t>
  </si>
  <si>
    <t>011614008001</t>
  </si>
  <si>
    <t>块料、石材台池槽拆除</t>
  </si>
  <si>
    <t>2.9</t>
  </si>
  <si>
    <t>41</t>
  </si>
  <si>
    <t>011609002001</t>
  </si>
  <si>
    <t>隔断隔墙拆除</t>
  </si>
  <si>
    <t>1、卫生间隔断拆除</t>
  </si>
  <si>
    <t>7.52</t>
  </si>
  <si>
    <t>42</t>
  </si>
  <si>
    <t>011601001003</t>
  </si>
  <si>
    <t>砖（石）砌体拆除（卫生间）</t>
  </si>
  <si>
    <t>13.06</t>
  </si>
  <si>
    <t>43</t>
  </si>
  <si>
    <t>011602001004</t>
  </si>
  <si>
    <t>拆除卫生间反口混凝土</t>
  </si>
  <si>
    <t>0.58</t>
  </si>
  <si>
    <t>44</t>
  </si>
  <si>
    <t>01B001019</t>
  </si>
  <si>
    <t>屋面玻璃雨披重新打胶</t>
  </si>
  <si>
    <t>45</t>
  </si>
  <si>
    <t>01B001020</t>
  </si>
  <si>
    <t>二楼钢结构玻璃漏水修复（重新打胶）</t>
  </si>
  <si>
    <t>24.5</t>
  </si>
  <si>
    <t>46</t>
  </si>
  <si>
    <t>01B001021</t>
  </si>
  <si>
    <t>二楼交接处不锈钢收缩缝拆除</t>
  </si>
  <si>
    <t>8.8</t>
  </si>
  <si>
    <t>47</t>
  </si>
  <si>
    <t>01B001022</t>
  </si>
  <si>
    <t>二楼交接处不锈钢收缩缝重做</t>
  </si>
  <si>
    <t>48</t>
  </si>
  <si>
    <t>010103002003</t>
  </si>
  <si>
    <t>余方弃置</t>
  </si>
  <si>
    <t>1.自卸汽车运石碴 (载重10t以外 运距5km)
2.人工装车 (石碴)</t>
  </si>
  <si>
    <t>93.94</t>
  </si>
  <si>
    <t>2土建部分</t>
  </si>
  <si>
    <t>010505003001</t>
  </si>
  <si>
    <t>平板</t>
  </si>
  <si>
    <t>1.混凝土种类:泵送商品混凝土
2.混凝土强度等级:C30</t>
  </si>
  <si>
    <t>1.96</t>
  </si>
  <si>
    <t>010515001001</t>
  </si>
  <si>
    <t>现浇构件钢筋</t>
  </si>
  <si>
    <t>1.现浇构件带肋钢筋HRB400以内 (直径18mm)</t>
  </si>
  <si>
    <t>t</t>
  </si>
  <si>
    <t>0.039</t>
  </si>
  <si>
    <t>010902001001</t>
  </si>
  <si>
    <t>屋面卷材防水</t>
  </si>
  <si>
    <t>1.改性沥青卷材 (热熔法一层 平面)
2.水泥砂浆找平层（30mm厚） (在混凝土或硬基层面上)</t>
  </si>
  <si>
    <t>18.78</t>
  </si>
  <si>
    <t>010501001001</t>
  </si>
  <si>
    <t>垫层（地面抬高）</t>
  </si>
  <si>
    <t>1.混凝土种类:陶粒混凝土</t>
  </si>
  <si>
    <t>2.19</t>
  </si>
  <si>
    <t>010401003001</t>
  </si>
  <si>
    <t>实心砖墙</t>
  </si>
  <si>
    <t>部位：卫生间地面</t>
  </si>
  <si>
    <t>0.27</t>
  </si>
  <si>
    <t>010402001001</t>
  </si>
  <si>
    <t>砌块墙</t>
  </si>
  <si>
    <t>1.蒸压加气混凝土砌块墙</t>
  </si>
  <si>
    <t>8.02</t>
  </si>
  <si>
    <t>011201004001</t>
  </si>
  <si>
    <t>立面砂浆找平层</t>
  </si>
  <si>
    <t>1.10mm厚水泥砂浆找平层 砖墙、混凝土墙</t>
  </si>
  <si>
    <t>115.89</t>
  </si>
  <si>
    <t>010401009001</t>
  </si>
  <si>
    <t>实心砖柱</t>
  </si>
  <si>
    <t>1.蒸压加气混凝土砌块墙 (现拌砂浆 120mm厚以内)</t>
  </si>
  <si>
    <t>1.3</t>
  </si>
  <si>
    <t>010503004001</t>
  </si>
  <si>
    <t>圈梁</t>
  </si>
  <si>
    <t>卫生间基脚
1.混凝土种类:非泵送商品混凝土
2.混凝土强度等级:C25</t>
  </si>
  <si>
    <t>0.28</t>
  </si>
  <si>
    <t>010904002001</t>
  </si>
  <si>
    <t>楼(地)面涂膜防水</t>
  </si>
  <si>
    <t>1.防水膜品种:2.0mm厚单组份聚氨酯防水涂料</t>
  </si>
  <si>
    <t>36.1</t>
  </si>
  <si>
    <t>010903002001</t>
  </si>
  <si>
    <t>墙面涂膜防水</t>
  </si>
  <si>
    <t>56.68</t>
  </si>
  <si>
    <t>011702016001</t>
  </si>
  <si>
    <t>平板模板</t>
  </si>
  <si>
    <t>16.32</t>
  </si>
  <si>
    <t>011702008001</t>
  </si>
  <si>
    <t>圈梁模板</t>
  </si>
  <si>
    <t>011701002001</t>
  </si>
  <si>
    <t>外脚手架及垂直封闭安全网</t>
  </si>
  <si>
    <t>011701003001</t>
  </si>
  <si>
    <t>砌筑脚手架</t>
  </si>
  <si>
    <t>78.25</t>
  </si>
  <si>
    <t>3地面部分</t>
  </si>
  <si>
    <t>011108001001</t>
  </si>
  <si>
    <t>石材零星项目</t>
  </si>
  <si>
    <t>1.18mm石材门槛石（专用粘结剂）
2.C20细石混凝土找平层（30mm厚） (在硬基层面上)
3.凿毛处理</t>
  </si>
  <si>
    <t>011103001001</t>
  </si>
  <si>
    <t>橡胶板楼地面</t>
  </si>
  <si>
    <t>1.3mm地塑楼地面（粘结剂黏贴）</t>
  </si>
  <si>
    <t>54.09</t>
  </si>
  <si>
    <t>011102003001</t>
  </si>
  <si>
    <t>地砖铺贴</t>
  </si>
  <si>
    <t>1.30厚1:2水泥砂浆地面找平
2.600*1200mm楼地面面砖（粘结剂结合层） 不勾缝 周长3600mm以内
3.美缝（2mm同砖色美缝剂(环氧彩砂)）</t>
  </si>
  <si>
    <t>46.5</t>
  </si>
  <si>
    <t>011102001001</t>
  </si>
  <si>
    <t>石材楼地面</t>
  </si>
  <si>
    <t>1.30厚1:2水泥砂浆地面找平
2.石板材楼地面（水泥砂浆结合层） (单色 周长3200mm以内)</t>
  </si>
  <si>
    <t>51.67</t>
  </si>
  <si>
    <t>4天花部分</t>
  </si>
  <si>
    <t>011302001001</t>
  </si>
  <si>
    <t>天棚吊顶</t>
  </si>
  <si>
    <t>1.MT-02 木纹铝格栅（直接吊在楼板下）</t>
  </si>
  <si>
    <t>50.27</t>
  </si>
  <si>
    <t>011407002001</t>
  </si>
  <si>
    <t>天棚喷刷涂料</t>
  </si>
  <si>
    <t>1.无机涂料 (天棚面 二遍)</t>
  </si>
  <si>
    <t>223.24</t>
  </si>
  <si>
    <t>011407002002</t>
  </si>
  <si>
    <t>1.防水无机涂料 (天棚面 二遍)</t>
  </si>
  <si>
    <t>30.51</t>
  </si>
  <si>
    <t>011302001002</t>
  </si>
  <si>
    <t>1.装配式U型轻钢（不上人型） (面层规格(300mm×300mm) 平面)
2.双层9.5mm石膏板天棚面层 (安在U形轻钢龙骨上)</t>
  </si>
  <si>
    <t>33.18</t>
  </si>
  <si>
    <t>011302001003</t>
  </si>
  <si>
    <t>部位：详节点01/T-01
1.装配式U型轻钢（不上人型） (面层规格(300mm×300mm) 跌级)
2.双层9.5mm石膏板天棚面层 (安在U形轻钢龙骨上) 跌级</t>
  </si>
  <si>
    <t>112.21</t>
  </si>
  <si>
    <t>011304001001</t>
  </si>
  <si>
    <t>灯带槽</t>
  </si>
  <si>
    <t>部位：门厅，详节点02/T-01
1.无机涂料 (天棚面 二遍)
2.天棚面层悬挑式灯槽 (9.5mm石膏板面)</t>
  </si>
  <si>
    <t>8.86</t>
  </si>
  <si>
    <t>011304001002</t>
  </si>
  <si>
    <t>部位：卫生间，详节点03/T-01
1.无机涂料 (天棚面 二遍)
2.天棚面层悬挑式灯槽 (9.5mm石膏板面)</t>
  </si>
  <si>
    <t>2.64</t>
  </si>
  <si>
    <t>011302001004</t>
  </si>
  <si>
    <t>部位：详节点04/T-01
1.软膜吊顶 (矩形)
2.装配式U型轻钢（不上人型） (面层规格(300mm×300mm) 平面)
3.双层9.5mm石膏板天棚面层 (安在U形轻钢龙骨上)</t>
  </si>
  <si>
    <t>4.22</t>
  </si>
  <si>
    <t>011302001005</t>
  </si>
  <si>
    <t>部位：详节点01/T-02
1.WD-01 木饰面
2.阻燃板基层（18mm）
3.20*40*2镀锌方管骨架</t>
  </si>
  <si>
    <t>6.21</t>
  </si>
  <si>
    <t>011302001006</t>
  </si>
  <si>
    <t>部位：详节点03/T-02
1.阻燃板基层（18mm）
2.20*40*2镀锌方管骨架</t>
  </si>
  <si>
    <t>1.9</t>
  </si>
  <si>
    <t>5墙面部分</t>
  </si>
  <si>
    <t>010808004001</t>
  </si>
  <si>
    <t>金属门窗套</t>
  </si>
  <si>
    <t>部位：详节点02/T-02
1.MT-01黑钛不锈钢（哑面）
2.阻燃板基层（18mm）
3.20*40*2镀锌方管骨架</t>
  </si>
  <si>
    <t>1.35</t>
  </si>
  <si>
    <t>010808004002</t>
  </si>
  <si>
    <t>部位：详节点04/T-02
1.MT-01黑钛不锈钢（哑面）
2.阻燃板基层（18mm）
3.20*40*2镀锌方管骨架</t>
  </si>
  <si>
    <t>7.25</t>
  </si>
  <si>
    <t>011210003001</t>
  </si>
  <si>
    <t>玻璃隔断</t>
  </si>
  <si>
    <t>1.全玻璃隔断 (GL-01 15mm超白钢化玻璃，MT-01黑钛不锈钢)</t>
  </si>
  <si>
    <t>23.09</t>
  </si>
  <si>
    <t>010805001001</t>
  </si>
  <si>
    <t>电子感应门</t>
  </si>
  <si>
    <t>1.门代号及洞口尺寸:按图
2.门框、扇材质:MT-01黑钛不锈钢
3.玻璃品种、厚度:GL-01 15mm超白钢化玻璃
4.启动装置的品种、规格:内置电动移门电机</t>
  </si>
  <si>
    <t>010802001001</t>
  </si>
  <si>
    <t>金属（塑钢）门</t>
  </si>
  <si>
    <t>1.15mm超白钢化玻璃地弹门（带门锁、地弹簧、高档拉手等）</t>
  </si>
  <si>
    <t>5.13</t>
  </si>
  <si>
    <t>011407001001</t>
  </si>
  <si>
    <t>墙面喷刷涂料</t>
  </si>
  <si>
    <t>1.PT-01 白色无机涂料 (墙面 二遍)</t>
  </si>
  <si>
    <t>218.01</t>
  </si>
  <si>
    <t>011105006001</t>
  </si>
  <si>
    <t>金属踢脚线</t>
  </si>
  <si>
    <t>1.MT-03 成品金属踢脚线（50mm）</t>
  </si>
  <si>
    <t>91</t>
  </si>
  <si>
    <t>010808001001</t>
  </si>
  <si>
    <t>木门窗套</t>
  </si>
  <si>
    <t>1.WD-01 木饰面门框
2.木工板 (直接安在墙面上)</t>
  </si>
  <si>
    <t>3.36</t>
  </si>
  <si>
    <t>011204001001</t>
  </si>
  <si>
    <t>石材墙面</t>
  </si>
  <si>
    <t>部位：造景区域</t>
  </si>
  <si>
    <t>8.85</t>
  </si>
  <si>
    <t>011204001002</t>
  </si>
  <si>
    <t>部位：详节点07/Q-01
1.ST-02白色人造石
2.附墙钢骨架制作、安装
3.阻燃板基层</t>
  </si>
  <si>
    <t>3.73</t>
  </si>
  <si>
    <t>011207001001</t>
  </si>
  <si>
    <t>墙面装饰板</t>
  </si>
  <si>
    <t>部位：详节点02/Q-01
1.WD-01 木饰面饰面板 (墙面、墙裙)
2.轻钢龙骨 (中距竖603mm以内、横1500mm以内)
3.阻燃板基层</t>
  </si>
  <si>
    <t>8.27</t>
  </si>
  <si>
    <t>010808004003</t>
  </si>
  <si>
    <t>部位：详节点02/Q-01
1.MT-01黑钛不锈钢（哑面）
2.阻燃板基层（18mm）</t>
  </si>
  <si>
    <t>8.72</t>
  </si>
  <si>
    <t>011207001002</t>
  </si>
  <si>
    <t>1.WD-01 木饰面饰面板 (墙面、墙裙)
2.轻钢龙骨 (中距竖603mm以内、横1500mm以内)
3.阻燃板基层</t>
  </si>
  <si>
    <t>6.44</t>
  </si>
  <si>
    <t>011208001001</t>
  </si>
  <si>
    <t>柱(梁)面装饰</t>
  </si>
  <si>
    <t>部位：详节点01/Q-01
1.WD-01 木质饰面板粘贴在胶合板上 (墙柱面)
2.轻钢龙骨 (中距竖603mm以内、横1500mm以内)</t>
  </si>
  <si>
    <t>15.7</t>
  </si>
  <si>
    <t>011204003001</t>
  </si>
  <si>
    <t>块料墙面</t>
  </si>
  <si>
    <t>1.600*1200瓷砖内墙面面砖（粘结剂结合层） 不勾缝 每块面积≤0.80㎡</t>
  </si>
  <si>
    <t>97.11</t>
  </si>
  <si>
    <t>011505010001</t>
  </si>
  <si>
    <t>镜面玻璃</t>
  </si>
  <si>
    <t>部位：详节点05/Q-01
1.MR-01 6mm银镜
2.18mm阻燃板基层
3.MT-01 1.2mm不锈钢
4.20*40*2镀锌方管骨架</t>
  </si>
  <si>
    <t>3.96</t>
  </si>
  <si>
    <t>011505008001</t>
  </si>
  <si>
    <t>卫生纸盒</t>
  </si>
  <si>
    <t>1.材质：太空铝</t>
  </si>
  <si>
    <t>011505006001</t>
  </si>
  <si>
    <t>挂钩</t>
  </si>
  <si>
    <t>1.型号：科勒45394T-CP</t>
  </si>
  <si>
    <t>套</t>
  </si>
  <si>
    <t>011210005001</t>
  </si>
  <si>
    <t>成品隔断</t>
  </si>
  <si>
    <t>1.抗倍特板隔断 (卫生间)</t>
  </si>
  <si>
    <t>28.95</t>
  </si>
  <si>
    <t>011210003002</t>
  </si>
  <si>
    <t>1.GL-02 8mm长虹玻璃隔断（小便斗）</t>
  </si>
  <si>
    <t>3.08</t>
  </si>
  <si>
    <t>011207001003</t>
  </si>
  <si>
    <t>部位：卫生间暗藏水箱 节点04/Q-01
1.8mm厚水泥纤维板
2.附墙钢骨架制作、安装</t>
  </si>
  <si>
    <t>011608001001</t>
  </si>
  <si>
    <t>铲除油漆涂料面（外墙面）</t>
  </si>
  <si>
    <t>770.99</t>
  </si>
  <si>
    <t>011407001003</t>
  </si>
  <si>
    <t>1.真石漆 (外墙面)</t>
  </si>
  <si>
    <t>6其他</t>
  </si>
  <si>
    <t>011501001001</t>
  </si>
  <si>
    <t>ETC服务台</t>
  </si>
  <si>
    <t>做法详节点Q-02
1.ETC服务台（ST-02人造石台面，WD-01 木饰面柜子，宽度340mm，高度850mm）</t>
  </si>
  <si>
    <t>M</t>
  </si>
  <si>
    <t>9.22</t>
  </si>
  <si>
    <t>011501001002</t>
  </si>
  <si>
    <t>问询处柜子</t>
  </si>
  <si>
    <t>做法详节点Q-02
1.问询处柜子（ST-02人造石台面，WD-01 木饰面柜子，宽度340mm，高度850mm）</t>
  </si>
  <si>
    <t>7.9</t>
  </si>
  <si>
    <t>011505001001</t>
  </si>
  <si>
    <t>洗漱台</t>
  </si>
  <si>
    <t>做法详节点05/Q-01
1.洗手台（ST-02人造石台面，WD-01 木饰面柜子，18mmB1级阻燃板，L40*40*4镀锌角铁骨架，台面下暗藏废纸篓，宽度600mm，高度550mm）</t>
  </si>
  <si>
    <t>010801002001</t>
  </si>
  <si>
    <t>木质门（带门套）</t>
  </si>
  <si>
    <t>1.门代号及洞口尺寸:920*2550
2.材质:带门套成品装饰平开实木门 (单开)</t>
  </si>
  <si>
    <t>01B001001</t>
  </si>
  <si>
    <t>造景平台（绿植造景）</t>
  </si>
  <si>
    <t>尺寸：1.24*3.09m</t>
  </si>
  <si>
    <t>项</t>
  </si>
  <si>
    <t>010807001001</t>
  </si>
  <si>
    <t>金属(塑钢、断桥)窗</t>
  </si>
  <si>
    <t>1.铝合金推拉窗制作（中空LOW-E钢化玻璃6+9A+6,断桥隔热铝合金型材)
2.铝合金推拉窗安装
3.铝合金固定窗制作（中空LOW-E钢化玻璃6+9A+6,断桥隔热铝合金型材)
4.铝合金固定窗安装</t>
  </si>
  <si>
    <t>44.81</t>
  </si>
  <si>
    <t>010807001002</t>
  </si>
  <si>
    <t>1.铝合金推拉窗制作（中空LOW-E钢化玻璃6+9A+6,断桥隔热铝合金型材)（弧形）
2.铝合金推拉窗安装</t>
  </si>
  <si>
    <t>28.04</t>
  </si>
  <si>
    <t>010807005001</t>
  </si>
  <si>
    <t>金属格栅窗</t>
  </si>
  <si>
    <t>1.防盗格栅窗 (不锈钢管)</t>
  </si>
  <si>
    <t>23.07</t>
  </si>
  <si>
    <t>010802001003</t>
  </si>
  <si>
    <t>7.98</t>
  </si>
  <si>
    <t>01B001029</t>
  </si>
  <si>
    <t>水吧台</t>
  </si>
  <si>
    <t>1、石英石台面、海洋板柜体、不锈钢水槽配冷暖龙头</t>
  </si>
  <si>
    <t>01B001023</t>
  </si>
  <si>
    <t>洁具</t>
  </si>
  <si>
    <t>1、含拆除灰尘清理、现场保护、打扫工具设备</t>
  </si>
  <si>
    <t>01B001033</t>
  </si>
  <si>
    <t>窗帘（百叶帘）</t>
  </si>
  <si>
    <t>高度按窗高+0.2</t>
  </si>
  <si>
    <t>21.38</t>
  </si>
  <si>
    <t>01B001034</t>
  </si>
  <si>
    <t>ETC服务台网络线人工整理</t>
  </si>
  <si>
    <t>01B001005</t>
  </si>
  <si>
    <t>一楼材料室、配电房，二楼资料室搬东西整理</t>
  </si>
  <si>
    <t>7绿化</t>
  </si>
  <si>
    <t>050102001002</t>
  </si>
  <si>
    <t>栽植乔木</t>
  </si>
  <si>
    <t>乔木种类：火焰木
1、胸径18-20cm
2、高度400-450cm,冠幅：250cm
3、假植苗，枝叶茂密，树冠形态完整
4、杉木四角撑
5、基肥：20kg
6、养护：6个月</t>
  </si>
  <si>
    <t>050102002001</t>
  </si>
  <si>
    <t>栽植灌木</t>
  </si>
  <si>
    <t>灌木种类：黄金榕球
1、高度100-120cm，冠幅100cm
2、袋苗，枝叶茂密，树冠形态完整
3、基肥：10kg
4、养护：6个月</t>
  </si>
  <si>
    <t>050102007003</t>
  </si>
  <si>
    <t>栽植色带</t>
  </si>
  <si>
    <t>地被种类：满天星
1、株高25cm，冠幅20cm
2、袋苗，单位面积株数:36株/m2
3、基肥：3kg/㎡
4、养护：6个月</t>
  </si>
  <si>
    <t>050102007004</t>
  </si>
  <si>
    <t>地被种类：亮叶女贞
1、株高25cm，冠幅20cm
2、袋苗，单位面积株数:36株/m2
3、基肥：3kg/㎡
4、养护：6个月</t>
  </si>
  <si>
    <t>050102012002</t>
  </si>
  <si>
    <t>铺种草皮</t>
  </si>
  <si>
    <t>苗木种类：马尼拉草
1、密铺
2、基肥：2kg/m2
3、养护：6个月</t>
  </si>
  <si>
    <t>173</t>
  </si>
  <si>
    <t>050101010002</t>
  </si>
  <si>
    <t>整理绿化用地</t>
  </si>
  <si>
    <t>1.整理绿化地</t>
  </si>
  <si>
    <t>200</t>
  </si>
  <si>
    <t>050101009002</t>
  </si>
  <si>
    <t>种植土回(换)填</t>
  </si>
  <si>
    <t>1.回填种植土
2.回填厚度:30cm</t>
  </si>
  <si>
    <t>60</t>
  </si>
  <si>
    <t>小计</t>
  </si>
  <si>
    <t>二、安装单位工程</t>
  </si>
  <si>
    <t>1强电工程</t>
  </si>
  <si>
    <t>030404017001</t>
  </si>
  <si>
    <t>配电箱</t>
  </si>
  <si>
    <t>1.名称:配电箱AL1
2.安装方式:壁装</t>
  </si>
  <si>
    <t>台</t>
  </si>
  <si>
    <t>030411001001</t>
  </si>
  <si>
    <t>配管</t>
  </si>
  <si>
    <t>1.名称:紧定式钢管
2.规格:JDG20
3.配置形式:明敷
4.接地要求:防腐刷漆、接地</t>
  </si>
  <si>
    <t>333.65</t>
  </si>
  <si>
    <t>030411001002</t>
  </si>
  <si>
    <t>1.名称:紧定式钢管
2.规格:JDG20
3.配置形式:暗敷
4.接地要求:防腐刷漆、接地
5.含配管敷设处的钢丝网加固</t>
  </si>
  <si>
    <t>168.68</t>
  </si>
  <si>
    <t>030411001003</t>
  </si>
  <si>
    <t>1.名称:金属软管
2.材质:DN20</t>
  </si>
  <si>
    <t>030413001001</t>
  </si>
  <si>
    <t>铁构件</t>
  </si>
  <si>
    <t>1.名称:明管管道支架制作安装（除锈、刷漆）
2.材质:型钢</t>
  </si>
  <si>
    <t>kg</t>
  </si>
  <si>
    <t>41.37</t>
  </si>
  <si>
    <t>030413002001</t>
  </si>
  <si>
    <t>凿(压)槽</t>
  </si>
  <si>
    <t>1.名称:配管剔堵槽、沟及恢复
2.类型:砖结构</t>
  </si>
  <si>
    <t>45.5</t>
  </si>
  <si>
    <t>030411004001</t>
  </si>
  <si>
    <t>配线</t>
  </si>
  <si>
    <t>1.名称:穿照明线
2.配线形式:管内穿线
3.型号:WDZB-BYJ-2.5</t>
  </si>
  <si>
    <t>868.46</t>
  </si>
  <si>
    <t>030411004002</t>
  </si>
  <si>
    <t>1.名称:穿动力线
2.配线形式:管内穿线
3.型号:WDZB-BYJ-4</t>
  </si>
  <si>
    <t>523</t>
  </si>
  <si>
    <t>030411004003</t>
  </si>
  <si>
    <t>1.配线形式:管内穿线
2.型号:RVVP-3*1.0</t>
  </si>
  <si>
    <t>62.88</t>
  </si>
  <si>
    <t>030408001001</t>
  </si>
  <si>
    <t>电力电缆</t>
  </si>
  <si>
    <t>1.名称:铜芯电力电缆
2.型号、规格:WDZB-YJY-5*6
3.敷设方式、部位:室内</t>
  </si>
  <si>
    <t>030408006001</t>
  </si>
  <si>
    <t>电力电缆头</t>
  </si>
  <si>
    <t>1.名称:铜芯干包电缆终端头
2.规格:电缆截面≤10mm2,五芯
3.电压等级(kV):1kV以下</t>
  </si>
  <si>
    <t>030412004001</t>
  </si>
  <si>
    <t>装饰灯</t>
  </si>
  <si>
    <t>1.名称:嵌入式可调角度射灯
2.型号:12W,3500K</t>
  </si>
  <si>
    <t>030412004002</t>
  </si>
  <si>
    <t>1.名称:双头斗胆灯
2.型号:24W,4000K</t>
  </si>
  <si>
    <t>030412004003</t>
  </si>
  <si>
    <t>1.名称:暗藏灯带
2.型号:12W,3500K</t>
  </si>
  <si>
    <t>50</t>
  </si>
  <si>
    <t>030412001001</t>
  </si>
  <si>
    <t>普通灯具</t>
  </si>
  <si>
    <t>1.名称:方形吸顶灯(拆除利旧安装)</t>
  </si>
  <si>
    <t>030404034001</t>
  </si>
  <si>
    <t>照明开关</t>
  </si>
  <si>
    <t>1.名称:四联开关
2.规格:220V 10A</t>
  </si>
  <si>
    <t>030404034002</t>
  </si>
  <si>
    <t>1.名称:三联开关
2.规格:220V 10A</t>
  </si>
  <si>
    <t>030404034003</t>
  </si>
  <si>
    <t>1.名称:双联开关
2.规格:220V 10A</t>
  </si>
  <si>
    <t>030404034004</t>
  </si>
  <si>
    <t>1.名称:单联开关
2.规格:220V 10A</t>
  </si>
  <si>
    <t>030404035001</t>
  </si>
  <si>
    <t>插座</t>
  </si>
  <si>
    <t>1.名称:五孔插座 250V,10A</t>
  </si>
  <si>
    <t>030404035002</t>
  </si>
  <si>
    <t>1.名称:五孔插座带防溅盒 250V,10A,IP54</t>
  </si>
  <si>
    <t>030404031001</t>
  </si>
  <si>
    <t>小电器</t>
  </si>
  <si>
    <t>1.名称:风扇接线</t>
  </si>
  <si>
    <t>030404031002</t>
  </si>
  <si>
    <t>1.名称:低压电器装置接线 自动冲洗感应器接线</t>
  </si>
  <si>
    <t>030411006001</t>
  </si>
  <si>
    <t>接线盒</t>
  </si>
  <si>
    <t>1.名称:灯头盒
2.材质:铁
3.安装形式:明装</t>
  </si>
  <si>
    <t>74</t>
  </si>
  <si>
    <t>030411006002</t>
  </si>
  <si>
    <t>1.名称:接线盒
2.材质:铁
3.安装形式:明装</t>
  </si>
  <si>
    <t>030411006003</t>
  </si>
  <si>
    <t>1.名称:开关插座盒
2.材质:铁
3.安装形式:暗装</t>
  </si>
  <si>
    <t>030404034005</t>
  </si>
  <si>
    <t>1.名称:空白面板</t>
  </si>
  <si>
    <t>011304003001</t>
  </si>
  <si>
    <t>天棚开孔</t>
  </si>
  <si>
    <t>1.名称:天棚开孔（每个面积在0.02m2以内）</t>
  </si>
  <si>
    <t>030701003003</t>
  </si>
  <si>
    <t>空调器</t>
  </si>
  <si>
    <t>1.名称:大1匹空调机</t>
  </si>
  <si>
    <t>01B001004</t>
  </si>
  <si>
    <t>空调加装保护罩（1.2*0.7*1.5）</t>
  </si>
  <si>
    <t>031301017001</t>
  </si>
  <si>
    <t>脚手架搭拆</t>
  </si>
  <si>
    <t>2弱电工程</t>
  </si>
  <si>
    <t>030411001004</t>
  </si>
  <si>
    <t>300</t>
  </si>
  <si>
    <t>030411001005</t>
  </si>
  <si>
    <t>150</t>
  </si>
  <si>
    <t>030413001002</t>
  </si>
  <si>
    <t>18.6</t>
  </si>
  <si>
    <t>030502005001</t>
  </si>
  <si>
    <t>双绞线缆</t>
  </si>
  <si>
    <t>1.名称:双绞线缆
2.规格:UTP6
3.敷设方式:管内穿放</t>
  </si>
  <si>
    <t>768.75</t>
  </si>
  <si>
    <t>030502019001</t>
  </si>
  <si>
    <t>双绞线缆测试</t>
  </si>
  <si>
    <t>1.名称:4对双绞线缆 测试</t>
  </si>
  <si>
    <t>链路</t>
  </si>
  <si>
    <t>030502012001</t>
  </si>
  <si>
    <t>信息插座</t>
  </si>
  <si>
    <t>1.名称:墙网络接口面板</t>
  </si>
  <si>
    <t>030502012002</t>
  </si>
  <si>
    <t>1.名称:AP面板</t>
  </si>
  <si>
    <t>030502012003</t>
  </si>
  <si>
    <t>1.名称:信息插座底盒</t>
  </si>
  <si>
    <t>3给水工程</t>
  </si>
  <si>
    <t>031001006001</t>
  </si>
  <si>
    <t>塑料管</t>
  </si>
  <si>
    <t>1.安装部位:室内
2.介质:给水
3.材质、规格:PPR给水管 DN15
4.连接形式:热熔连接
5.压力试验及吹、洗设计要求:管件安装、压力试验、消毒、冲洗、管道标识</t>
  </si>
  <si>
    <t>25.76</t>
  </si>
  <si>
    <t>031001006002</t>
  </si>
  <si>
    <t>1.安装部位:室内
2.介质:给水
3.材质、规格:PPR给水管 DN20
4.连接形式:热熔连接
5.压力试验及吹、洗设计要求:管件安装、压力试验、消毒、冲洗、管道标识</t>
  </si>
  <si>
    <t>15.69</t>
  </si>
  <si>
    <t>031001006003</t>
  </si>
  <si>
    <t>1.安装部位:室内
2.介质:给水
3.材质、规格:PPR给水管 DN25
4.连接形式:热熔连接
5.压力试验及吹、洗设计要求:管件安装、压力试验、消毒、冲洗、管道标识</t>
  </si>
  <si>
    <t>1.84</t>
  </si>
  <si>
    <t>031001006004</t>
  </si>
  <si>
    <t>1.安装部位:室内
2.介质:给水
3.材质、规格:PPR给水管 DN32
4.连接形式:热熔连接
5.压力试验及吹、洗设计要求:管件安装、压力试验、消毒、冲洗、管道标识</t>
  </si>
  <si>
    <t>3.53</t>
  </si>
  <si>
    <t>030413002002</t>
  </si>
  <si>
    <t>21.8</t>
  </si>
  <si>
    <t>031003001001</t>
  </si>
  <si>
    <t>螺纹阀门</t>
  </si>
  <si>
    <t>1.类型:截止阀
2.规格、压力等级:DN32
3.连接形式:螺纹连接</t>
  </si>
  <si>
    <t>4排水工程</t>
  </si>
  <si>
    <t>031001006005</t>
  </si>
  <si>
    <t>1.安装部位:室内
2.介质:排水
3.材质、规格:静音UPVC管DN50
4.连接形式:承插粘接
5.压力试验及吹、洗设计要求:灌水试验、通球试验、管件安装</t>
  </si>
  <si>
    <t>12.33</t>
  </si>
  <si>
    <t>031001006006</t>
  </si>
  <si>
    <t>1.安装部位:室内
2.介质:排水
3.材质、规格:静音UPVC管DN75
4.连接形式:承插粘接
5.压力试验及吹、洗设计要求:灌水试验、通球试验、管件安装、管道标识</t>
  </si>
  <si>
    <t>6.04</t>
  </si>
  <si>
    <t>031001006007</t>
  </si>
  <si>
    <t>1.安装部位:室内
2.介质:排水
3.材质、规格:静音UPVC管DN100
4.连接形式:承插粘接
5.压力试验及吹、洗设计要求:灌水试验、通球试验、管件安装、管道标识</t>
  </si>
  <si>
    <t>22.7</t>
  </si>
  <si>
    <t>031004007001</t>
  </si>
  <si>
    <t>小便器</t>
  </si>
  <si>
    <t>1.名称:小便斗（含小便斗、感应器及配套附件等）</t>
  </si>
  <si>
    <t>组</t>
  </si>
  <si>
    <t>031004003001</t>
  </si>
  <si>
    <t>洗脸盆</t>
  </si>
  <si>
    <t>1.名称:台下式洗手盆（含台下式洗脸盆、洗脸盆龙头及配套附件等）</t>
  </si>
  <si>
    <t>031004006001</t>
  </si>
  <si>
    <t>大便器</t>
  </si>
  <si>
    <t>1.名称:低水箱蹲式大便器（含蹲式大便器、低水箱、配件）</t>
  </si>
  <si>
    <t>031004008001</t>
  </si>
  <si>
    <t>其他成品卫生器具</t>
  </si>
  <si>
    <t>1.名称:成品拖布池（含拖布池、水龙头、配件）</t>
  </si>
  <si>
    <t>031004014001</t>
  </si>
  <si>
    <t>给、排水附(配)件</t>
  </si>
  <si>
    <t>1.名称:地漏
2.型号、规格:DN50</t>
  </si>
  <si>
    <t>010101007001</t>
  </si>
  <si>
    <t>管沟土方</t>
  </si>
  <si>
    <t>1.管径:DN100以内
2.挖沟深度:0.6m以内</t>
  </si>
  <si>
    <t>24.74</t>
  </si>
  <si>
    <t>010101007002</t>
  </si>
  <si>
    <t>1.管径:DN50以内
2.挖沟深度:0.6m以内</t>
  </si>
  <si>
    <t>6.83</t>
  </si>
  <si>
    <t>5拆除工程</t>
  </si>
  <si>
    <t>030412007001</t>
  </si>
  <si>
    <t>一般路灯</t>
  </si>
  <si>
    <t>1.名称:移灯</t>
  </si>
  <si>
    <t>031001006008</t>
  </si>
  <si>
    <t>1.UPVC排水管DN100 拆除重做</t>
  </si>
  <si>
    <t>4.3</t>
  </si>
  <si>
    <t>031001006009</t>
  </si>
  <si>
    <t>1.卫生间进水管PE50
2.连接形式:热熔连接
3.压力试验及吹、洗设计要求:管件安装、压力试验、消毒、冲洗、管道标识</t>
  </si>
  <si>
    <t>65</t>
  </si>
  <si>
    <t>030412004004</t>
  </si>
  <si>
    <t>1.名称:拆除筒灯</t>
  </si>
  <si>
    <t>030412005001</t>
  </si>
  <si>
    <t>荧光灯</t>
  </si>
  <si>
    <t>1.名称:拆除日光灯</t>
  </si>
  <si>
    <t>030412005002</t>
  </si>
  <si>
    <t>1.名称:拆除重做平板灯600*600</t>
  </si>
  <si>
    <t>030411001006</t>
  </si>
  <si>
    <t>1.名称:拆除灯具配管</t>
  </si>
  <si>
    <t>030411004004</t>
  </si>
  <si>
    <t>1.名称:拆除铜线 3*4</t>
  </si>
  <si>
    <t>138</t>
  </si>
  <si>
    <t>030701003001</t>
  </si>
  <si>
    <t>1.名称:拆除重装空调机900*900</t>
  </si>
  <si>
    <t>031001006010</t>
  </si>
  <si>
    <t>1.拆除重装空调机管道 50软管</t>
  </si>
  <si>
    <t>45.16</t>
  </si>
  <si>
    <t>031001004001</t>
  </si>
  <si>
    <t>铜管</t>
  </si>
  <si>
    <t>1.空调铜管φ15.9</t>
  </si>
  <si>
    <t>031001004002</t>
  </si>
  <si>
    <t>1.空调铜管φ9.5</t>
  </si>
  <si>
    <t>031004007002</t>
  </si>
  <si>
    <t>1.名称:拆除蹲便器</t>
  </si>
  <si>
    <t>031004007003</t>
  </si>
  <si>
    <t>1.名称:拆除小便斗</t>
  </si>
  <si>
    <t>030412004005</t>
  </si>
  <si>
    <t>1.名称:拆除灯</t>
  </si>
  <si>
    <t>030404033001</t>
  </si>
  <si>
    <t>风扇</t>
  </si>
  <si>
    <t>1.名称:拆除排气扇</t>
  </si>
  <si>
    <t>030701003002</t>
  </si>
  <si>
    <t>1.名称:拆除重装空调机</t>
  </si>
  <si>
    <t>031001006011</t>
  </si>
  <si>
    <t>031001004003</t>
  </si>
  <si>
    <t>031001004004</t>
  </si>
  <si>
    <t>三、室外</t>
  </si>
  <si>
    <t>01B001036</t>
  </si>
  <si>
    <t>晋江服务驿站 LOGO标识</t>
  </si>
  <si>
    <t>尺寸：单字高度1.02m，总宽度6.58m</t>
  </si>
  <si>
    <t>01B001038</t>
  </si>
  <si>
    <t>定制店招</t>
  </si>
  <si>
    <t>含定制创意面板及骨架
发光文字:高度0.4m、logo:0.5、正方形招牌:0.8</t>
  </si>
  <si>
    <t>5.76</t>
  </si>
  <si>
    <t>011207001008</t>
  </si>
  <si>
    <t>1.铝板幕墙 (铝单板 80*60*5热镀锌钢管骨架)
2.金属面 (氟碳漆)</t>
  </si>
  <si>
    <t>10.91</t>
  </si>
  <si>
    <t>010607003002</t>
  </si>
  <si>
    <t>成品雨蓬</t>
  </si>
  <si>
    <t>1、玻璃雨棚（250系列不锈钢双爪驳接爪件+10+1.52PVB+10钢化夹胶玻璃）</t>
  </si>
  <si>
    <t>11.01</t>
  </si>
  <si>
    <t>01B001039</t>
  </si>
  <si>
    <t>驿站大门招牌</t>
  </si>
  <si>
    <t>1.驿站大门招牌（尺寸：0.8*0.32*5.2，（2.5mm铝单板面板，LOGO亚克力发光(由专业厂家深化安装)，立体文字电镀白色亚克力背发光）</t>
  </si>
  <si>
    <t>01B001040</t>
  </si>
  <si>
    <t>停车场牌</t>
  </si>
  <si>
    <t>1.停车场牌 钢结构+镀锌板木纹漆 +迷你字300*80*20cm</t>
  </si>
  <si>
    <t>01B001041</t>
  </si>
  <si>
    <t>驿站导览牌</t>
  </si>
  <si>
    <t>1.驿站导览牌（尺寸：0.8*0.2*3.0，2.0mm不锈钢板切割折边,表面白色汽车漆烤漆/表面深色木纹烤漆闪银，迷你发光字6000k(由专业厂家进行深化设计)</t>
  </si>
  <si>
    <t>01B001042</t>
  </si>
  <si>
    <t>方向指引牌</t>
  </si>
  <si>
    <t>1.方向指引牌铝板贴反光膜120*85cm(由专业厂家进行深化设计)</t>
  </si>
  <si>
    <t>01B001043</t>
  </si>
  <si>
    <t>成品抱鼓石</t>
  </si>
  <si>
    <t>座</t>
  </si>
  <si>
    <t>011207001009</t>
  </si>
  <si>
    <t>1.定制铝格栅（边框2.5mm铝板造型）</t>
  </si>
  <si>
    <t>2.4</t>
  </si>
  <si>
    <t>011207001010</t>
  </si>
  <si>
    <t>部位：门卫立面图
1.外墙粘贴瓦片(粉状型建筑胶贴剂粘贴)
2.真石漆 (墙面)
3.外墙粘贴印度红石材 (粉状型建筑胶贴剂粘贴)
4.外墙粘贴红砖瓷片(粉状型建筑胶贴剂粘贴)
5.外墙面文化石 (粉状型建筑胶贴剂粘贴)</t>
  </si>
  <si>
    <t>16.67</t>
  </si>
  <si>
    <t>030507016002</t>
  </si>
  <si>
    <t>停车场管理设备（道闸）</t>
  </si>
  <si>
    <t>出入口车牌识别一体机设备
1.AK-208广告道闸2台、遥控器4个、广告杆2条
2.玻璃款广告门1套
3.人脸识别1台
4.车牌识别4套
5.人脸立柱2根
6.微波防砸雷达3个
7.线路改造</t>
  </si>
  <si>
    <t>011207001011</t>
  </si>
  <si>
    <t>部位：造型立面
1.瓷砖片
2.外墙粘贴红砖瓷片(粉状型建筑胶贴剂粘贴)
3.外墙面青石板 (粉状型建筑胶贴剂粘贴)
4.外墙粘贴石片(粉状型建筑胶贴剂粘贴)
5.外墙粘贴印度红石材 (粉状型建筑胶贴剂粘贴)</t>
  </si>
  <si>
    <t>35.38</t>
  </si>
  <si>
    <t>010401003004</t>
  </si>
  <si>
    <t>1.出砖入石</t>
  </si>
  <si>
    <t>7.44</t>
  </si>
  <si>
    <t>01B001045</t>
  </si>
  <si>
    <t>成品磨盘</t>
  </si>
  <si>
    <t>1.圆形φ0.6m</t>
  </si>
  <si>
    <t>01B001046</t>
  </si>
  <si>
    <t>成品广告灯箱（晋江）</t>
  </si>
  <si>
    <t>尺寸：1.1*1.1发光灯箱</t>
  </si>
  <si>
    <t>01B001047</t>
  </si>
  <si>
    <t>燕尾脊</t>
  </si>
  <si>
    <t>1.瓦片0.24*0.24m</t>
  </si>
  <si>
    <t>19.65</t>
  </si>
  <si>
    <t>011102003003</t>
  </si>
  <si>
    <t>块料楼地面</t>
  </si>
  <si>
    <t>1.50mm厚200mm*50mm红色地砖楼地面(水泥砂浆结合层) (不勾缝 周长1600mm以内)</t>
  </si>
  <si>
    <t>66.45</t>
  </si>
  <si>
    <t>010507003002</t>
  </si>
  <si>
    <t>原地沟翻新且新做镀锌钢隔板水沟盖板</t>
  </si>
  <si>
    <t>10.22</t>
  </si>
  <si>
    <t>040205006002</t>
  </si>
  <si>
    <t>标线</t>
  </si>
  <si>
    <t>部位：停车位
1.分界线 (热熔漆)</t>
  </si>
  <si>
    <t>58.7</t>
  </si>
  <si>
    <t>01B001048</t>
  </si>
  <si>
    <t>距离指示牌</t>
  </si>
  <si>
    <t>1.尺寸：1.4*1m</t>
  </si>
  <si>
    <t>040204004002</t>
  </si>
  <si>
    <t>安砌侧(平、缘)石</t>
  </si>
  <si>
    <t>1.路沿石(立缘石)安砌 (截面半周长 50cm以外 无基座)
2.碎石底层 (人机配合 厚度 10cm)</t>
  </si>
  <si>
    <t>80</t>
  </si>
  <si>
    <t>040203007002</t>
  </si>
  <si>
    <t>水泥混凝土</t>
  </si>
  <si>
    <t>1.C30水泥混凝土路面 (厚度20cm)
2.碎石底层 (人机配合 厚度15cm)
3.素土夯实</t>
  </si>
  <si>
    <t>333.29</t>
  </si>
  <si>
    <t>040203006001</t>
  </si>
  <si>
    <t>沥青混凝土</t>
  </si>
  <si>
    <t>1.细粒式沥青混凝土 (机械摊铺 厚度10cm)</t>
  </si>
  <si>
    <t>01B001049</t>
  </si>
  <si>
    <t>室外场地文化布置</t>
  </si>
  <si>
    <t>1.户外文化(由专业厂家进行深化设计)</t>
  </si>
  <si>
    <t>01B001050</t>
  </si>
  <si>
    <t>高速布控</t>
  </si>
  <si>
    <t>1.高速上安装指导牌和距离指示牌需要布控</t>
  </si>
  <si>
    <t>01B001003</t>
  </si>
  <si>
    <t>党建项目</t>
  </si>
  <si>
    <t>1.小品文化字
2.海丝高速，文通山海
3.不断创新，晋江精神发，
4.以路促发展，为堂聚民心
5.当好高质量发展开路先锋，服务人民群众美好出行
6.墙绘</t>
  </si>
  <si>
    <t>010504001001</t>
  </si>
  <si>
    <t>围墙</t>
  </si>
  <si>
    <t>1.[C30预拌非泵送普通混凝土] (带形基础)
2.非泵送调整费
3.现浇混凝土胶合板模板 带形基础
4.现浇构件带肋钢筋HRB400以内 (直径12-18mm)</t>
  </si>
  <si>
    <t>1.39</t>
  </si>
  <si>
    <t>041001007002</t>
  </si>
  <si>
    <t>拆除室外砖砌花池</t>
  </si>
  <si>
    <t>1.拆除砖砌其他构筑物
2.人工挖沟槽土方 (三类土 槽深 2m以内)
3.自卸汽车运石碴 (载重10t以外 运距5km)
4.人工装车 (石碴)</t>
  </si>
  <si>
    <t>2.81</t>
  </si>
  <si>
    <t>011609001002</t>
  </si>
  <si>
    <t>拆除铁艺栏杆</t>
  </si>
  <si>
    <t>24.66</t>
  </si>
  <si>
    <t>050307006001</t>
  </si>
  <si>
    <t>重做铁艺栏杆</t>
  </si>
  <si>
    <t>041001002001</t>
  </si>
  <si>
    <t>透水砖路面拆除</t>
  </si>
  <si>
    <t>1.透水砖路面拆除
2.小型机械拆除混凝土垫层200厚，碎石200厚
3.外运</t>
  </si>
  <si>
    <t>010401014001</t>
  </si>
  <si>
    <t>砖地沟、明暗沟</t>
  </si>
  <si>
    <t>1.砖砌明沟 (200×300)</t>
  </si>
  <si>
    <t>010401012001</t>
  </si>
  <si>
    <t>复古围墙旁边圆弧拐角补墙</t>
  </si>
  <si>
    <t>1.零星砖砌体（弧形）
2.真石漆 (墙面)
3.外墙面水泥砂浆找平抹灰（9+5mm厚） 砖墙、混凝土墙</t>
  </si>
  <si>
    <t>0.97</t>
  </si>
  <si>
    <t>010524001001</t>
  </si>
  <si>
    <t>水沟边沥青切割</t>
  </si>
  <si>
    <t>1.锯缝机锯缝 (缝深4cm)</t>
  </si>
  <si>
    <t>04BGQ0701001</t>
  </si>
  <si>
    <t>检查井井盖更换</t>
  </si>
  <si>
    <t>1.井盖规格:1*1.6m
2.井盖材质:球墨铸铁重型井盖</t>
  </si>
  <si>
    <t>030411001007</t>
  </si>
  <si>
    <t>1.名称:刚性阻燃管
2.规格:PVC20
3.配置形式:暗配</t>
  </si>
  <si>
    <t>226</t>
  </si>
  <si>
    <t>030411004005</t>
  </si>
  <si>
    <t>1.4BV电源线路套管安装</t>
  </si>
  <si>
    <t>01B001006</t>
  </si>
  <si>
    <t>48*82cm不锈钢黑色翻盖垃圾桶（加大号）</t>
  </si>
  <si>
    <t>041111002001</t>
  </si>
  <si>
    <t>固定式夹芯压型钢板围挡</t>
  </si>
  <si>
    <t>彩钢板施工围挡 (封闭式 混凝土基础 高2.5m)</t>
  </si>
  <si>
    <r>
      <rPr>
        <b/>
        <sz val="10"/>
        <rFont val="宋体"/>
        <charset val="0"/>
      </rPr>
      <t>合计（一</t>
    </r>
    <r>
      <rPr>
        <b/>
        <sz val="10"/>
        <rFont val="Arial"/>
        <charset val="0"/>
      </rPr>
      <t>+</t>
    </r>
    <r>
      <rPr>
        <b/>
        <sz val="10"/>
        <rFont val="宋体"/>
        <charset val="0"/>
      </rPr>
      <t>二</t>
    </r>
    <r>
      <rPr>
        <b/>
        <sz val="10"/>
        <rFont val="Arial"/>
        <charset val="0"/>
      </rPr>
      <t>+</t>
    </r>
    <r>
      <rPr>
        <b/>
        <sz val="10"/>
        <rFont val="宋体"/>
        <charset val="0"/>
      </rPr>
      <t>三</t>
    </r>
    <r>
      <rPr>
        <b/>
        <sz val="10"/>
        <rFont val="Arial"/>
        <charset val="0"/>
      </rPr>
      <t>+</t>
    </r>
    <r>
      <rPr>
        <b/>
        <sz val="10"/>
        <rFont val="宋体"/>
        <charset val="0"/>
      </rPr>
      <t>四</t>
    </r>
    <r>
      <rPr>
        <b/>
        <sz val="10"/>
        <rFont val="Arial"/>
        <charset val="0"/>
      </rPr>
      <t>+</t>
    </r>
    <r>
      <rPr>
        <b/>
        <sz val="10"/>
        <rFont val="宋体"/>
        <charset val="0"/>
      </rPr>
      <t>五）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</si>
</sst>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2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Calibri"/>
      <charset val="0"/>
    </font>
    <font>
      <sz val="9"/>
      <name val="Arial"/>
      <charset val="0"/>
    </font>
    <font>
      <b/>
      <sz val="17"/>
      <name val="新宋体"/>
      <charset val="134"/>
    </font>
    <font>
      <b/>
      <sz val="9"/>
      <name val="新宋体"/>
      <charset val="134"/>
    </font>
    <font>
      <b/>
      <sz val="16"/>
      <name val="新宋体"/>
      <charset val="134"/>
    </font>
    <font>
      <sz val="10"/>
      <name val="新宋体"/>
      <charset val="134"/>
    </font>
    <font>
      <sz val="9"/>
      <name val="新宋体"/>
      <charset val="134"/>
    </font>
    <font>
      <b/>
      <sz val="10"/>
      <name val="新宋体"/>
      <charset val="134"/>
    </font>
    <font>
      <sz val="9"/>
      <color indexed="8"/>
      <name val="宋体"/>
      <charset val="0"/>
    </font>
    <font>
      <sz val="9"/>
      <name val="新宋体"/>
      <charset val="0"/>
    </font>
    <font>
      <b/>
      <sz val="9"/>
      <color indexed="8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1"/>
      <name val="Calibri"/>
      <charset val="0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8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49" applyFont="1" applyFill="1" applyBorder="1" applyAlignment="1"/>
    <xf numFmtId="0" fontId="1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/>
    <xf numFmtId="0" fontId="12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/>
    <xf numFmtId="49" fontId="13" fillId="0" borderId="1" xfId="49" applyNumberFormat="1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/>
    </xf>
    <xf numFmtId="176" fontId="14" fillId="0" borderId="1" xfId="49" applyNumberFormat="1" applyFont="1" applyFill="1" applyBorder="1" applyAlignment="1">
      <alignment horizontal="center" vertical="center"/>
    </xf>
    <xf numFmtId="176" fontId="13" fillId="0" borderId="1" xfId="49" applyNumberFormat="1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8" fillId="0" borderId="0" xfId="49" applyFont="1" applyFill="1" applyBorder="1" applyAlignment="1"/>
    <xf numFmtId="0" fontId="19" fillId="0" borderId="0" xfId="0" applyFont="1" applyFill="1" applyBorder="1" applyAlignment="1">
      <alignment horizontal="center" vertical="center" wrapText="1"/>
    </xf>
    <xf numFmtId="177" fontId="19" fillId="0" borderId="0" xfId="0" applyNumberFormat="1" applyFont="1" applyFill="1" applyBorder="1" applyAlignment="1">
      <alignment horizontal="center" vertical="center" wrapText="1"/>
    </xf>
    <xf numFmtId="177" fontId="2" fillId="0" borderId="0" xfId="49" applyNumberFormat="1" applyFont="1" applyFill="1" applyBorder="1" applyAlignment="1"/>
    <xf numFmtId="0" fontId="20" fillId="0" borderId="1" xfId="49" applyFont="1" applyFill="1" applyBorder="1" applyAlignment="1">
      <alignment horizontal="center" vertical="center"/>
    </xf>
    <xf numFmtId="177" fontId="20" fillId="0" borderId="1" xfId="49" applyNumberFormat="1" applyFont="1" applyFill="1" applyBorder="1" applyAlignment="1">
      <alignment horizontal="center" vertical="center"/>
    </xf>
    <xf numFmtId="49" fontId="21" fillId="0" borderId="1" xfId="49" applyNumberFormat="1" applyFont="1" applyFill="1" applyBorder="1" applyAlignment="1">
      <alignment horizontal="center" vertical="center"/>
    </xf>
    <xf numFmtId="0" fontId="21" fillId="0" borderId="1" xfId="49" applyFont="1" applyFill="1" applyBorder="1" applyAlignment="1">
      <alignment horizontal="center" vertical="center"/>
    </xf>
    <xf numFmtId="176" fontId="21" fillId="0" borderId="1" xfId="49" applyNumberFormat="1" applyFont="1" applyFill="1" applyBorder="1" applyAlignment="1">
      <alignment horizontal="center" vertical="center"/>
    </xf>
    <xf numFmtId="0" fontId="2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zoomScale="85" zoomScaleNormal="85" workbookViewId="0">
      <selection activeCell="D13" sqref="D13"/>
    </sheetView>
  </sheetViews>
  <sheetFormatPr defaultColWidth="8" defaultRowHeight="15" outlineLevelCol="3"/>
  <cols>
    <col min="1" max="1" width="8.625" style="2" customWidth="1"/>
    <col min="2" max="2" width="39.5" style="2" customWidth="1"/>
    <col min="3" max="3" width="17.5" style="2" customWidth="1"/>
    <col min="4" max="4" width="21.6083333333333" style="2" customWidth="1"/>
    <col min="5" max="5" width="8" style="2"/>
    <col min="6" max="8" width="11.125" style="2"/>
    <col min="9" max="16384" width="8" style="2"/>
  </cols>
  <sheetData>
    <row r="1" ht="78" customHeight="1" spans="1:4">
      <c r="A1" s="31" t="s">
        <v>0</v>
      </c>
      <c r="B1" s="31"/>
      <c r="C1" s="32"/>
      <c r="D1" s="31"/>
    </row>
    <row r="2" spans="1:4">
      <c r="C2" s="33"/>
    </row>
    <row r="3" ht="42" customHeight="1" spans="1:4">
      <c r="A3" s="34" t="s">
        <v>1</v>
      </c>
      <c r="B3" s="34" t="s">
        <v>2</v>
      </c>
      <c r="C3" s="35" t="s">
        <v>3</v>
      </c>
      <c r="D3" s="34" t="s">
        <v>4</v>
      </c>
    </row>
    <row r="4" s="30" customFormat="1" ht="42" customHeight="1" spans="1:4">
      <c r="A4" s="36" t="s">
        <v>5</v>
      </c>
      <c r="B4" s="37" t="s">
        <v>6</v>
      </c>
      <c r="C4" s="38">
        <f>'1-1泉厦高速晋江服务驿站项目（控制价）'!H133</f>
        <v>568973.62</v>
      </c>
      <c r="D4" s="34"/>
    </row>
    <row r="5" s="30" customFormat="1" ht="42" customHeight="1" spans="1:4">
      <c r="A5" s="36" t="s">
        <v>7</v>
      </c>
      <c r="B5" s="37" t="s">
        <v>8</v>
      </c>
      <c r="C5" s="38">
        <f>'1-1泉厦高速晋江服务驿站项目（控制价）'!H215</f>
        <v>110188.88</v>
      </c>
      <c r="D5" s="34"/>
    </row>
    <row r="6" s="30" customFormat="1" ht="42" customHeight="1" spans="1:4">
      <c r="A6" s="36" t="s">
        <v>9</v>
      </c>
      <c r="B6" s="37" t="s">
        <v>10</v>
      </c>
      <c r="C6" s="38">
        <f>'1-1泉厦高速晋江服务驿站项目（控制价）'!H257</f>
        <v>611030.9</v>
      </c>
      <c r="D6" s="34"/>
    </row>
    <row r="7" s="30" customFormat="1" ht="42" customHeight="1" spans="1:4">
      <c r="A7" s="36" t="s">
        <v>11</v>
      </c>
      <c r="B7" s="37" t="s">
        <v>12</v>
      </c>
      <c r="C7" s="38">
        <v>100000</v>
      </c>
      <c r="D7" s="34" t="s">
        <v>13</v>
      </c>
    </row>
    <row r="8" s="30" customFormat="1" ht="42" customHeight="1" spans="1:4">
      <c r="A8" s="36" t="s">
        <v>14</v>
      </c>
      <c r="B8" s="37" t="s">
        <v>15</v>
      </c>
      <c r="C8" s="38">
        <v>40000</v>
      </c>
      <c r="D8" s="39" t="s">
        <v>16</v>
      </c>
    </row>
    <row r="9" s="30" customFormat="1" ht="42" customHeight="1" spans="1:4">
      <c r="A9" s="34"/>
      <c r="B9" s="34" t="s">
        <v>17</v>
      </c>
      <c r="C9" s="35">
        <f>SUM(C4:C8)</f>
        <v>1430193</v>
      </c>
      <c r="D9" s="34" t="s">
        <v>18</v>
      </c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0"/>
  <sheetViews>
    <sheetView zoomScaleSheetLayoutView="60" topLeftCell="A236" workbookViewId="0">
      <selection activeCell="H268" sqref="H268"/>
    </sheetView>
  </sheetViews>
  <sheetFormatPr defaultColWidth="8" defaultRowHeight="12.75" outlineLevelCol="7"/>
  <cols>
    <col min="1" max="1" width="4.5" style="1" customWidth="1"/>
    <col min="2" max="2" width="10.7583333333333" style="1" customWidth="1"/>
    <col min="3" max="3" width="14.3416666666667" style="1" customWidth="1"/>
    <col min="4" max="4" width="22.0583333333333" style="1" customWidth="1"/>
    <col min="5" max="5" width="4.5" style="1" customWidth="1"/>
    <col min="6" max="6" width="8.65833333333333" style="3" customWidth="1"/>
    <col min="7" max="7" width="8.31666666666667" style="4" customWidth="1"/>
    <col min="8" max="8" width="10.625" style="1" customWidth="1"/>
    <col min="9" max="10" width="8" style="1"/>
    <col min="11" max="11" width="11.125" style="1"/>
    <col min="12" max="12" width="8" style="1"/>
    <col min="13" max="13" width="11.125" style="1"/>
    <col min="14" max="16384" width="8" style="1"/>
  </cols>
  <sheetData>
    <row r="1" s="1" customFormat="1" ht="21.75" spans="1:8">
      <c r="A1" s="5" t="s">
        <v>19</v>
      </c>
      <c r="B1" s="5"/>
      <c r="C1" s="5"/>
      <c r="D1" s="5"/>
      <c r="E1" s="5"/>
      <c r="F1" s="5"/>
      <c r="G1" s="6"/>
      <c r="H1" s="5"/>
    </row>
    <row r="2" s="1" customFormat="1" ht="20.25" spans="1:8">
      <c r="A2" s="7" t="s">
        <v>20</v>
      </c>
      <c r="B2" s="7"/>
      <c r="C2" s="7"/>
      <c r="D2" s="7"/>
      <c r="E2" s="7"/>
      <c r="F2" s="7"/>
      <c r="G2" s="8"/>
      <c r="H2" s="7"/>
    </row>
    <row r="3" spans="1:8">
      <c r="A3" s="9" t="s">
        <v>1</v>
      </c>
      <c r="B3" s="9" t="s">
        <v>21</v>
      </c>
      <c r="C3" s="9" t="s">
        <v>2</v>
      </c>
      <c r="D3" s="9" t="s">
        <v>22</v>
      </c>
      <c r="E3" s="9" t="s">
        <v>23</v>
      </c>
      <c r="F3" s="9" t="s">
        <v>24</v>
      </c>
      <c r="G3" s="10" t="s">
        <v>25</v>
      </c>
      <c r="H3" s="9"/>
    </row>
    <row r="4" spans="1:8">
      <c r="A4" s="9"/>
      <c r="B4" s="9"/>
      <c r="C4" s="9"/>
      <c r="D4" s="9"/>
      <c r="E4" s="9"/>
      <c r="F4" s="9"/>
      <c r="G4" s="10" t="s">
        <v>26</v>
      </c>
      <c r="H4" s="9" t="s">
        <v>27</v>
      </c>
    </row>
    <row r="5" spans="1:8">
      <c r="A5" s="11" t="s">
        <v>28</v>
      </c>
      <c r="B5" s="11"/>
      <c r="C5" s="11"/>
      <c r="D5" s="11"/>
      <c r="E5" s="11"/>
      <c r="F5" s="11"/>
      <c r="G5" s="12"/>
      <c r="H5" s="13"/>
    </row>
    <row r="6" ht="33.75" spans="1:8">
      <c r="A6" s="14" t="s">
        <v>29</v>
      </c>
      <c r="B6" s="15" t="s">
        <v>30</v>
      </c>
      <c r="C6" s="15" t="s">
        <v>31</v>
      </c>
      <c r="D6" s="15" t="s">
        <v>32</v>
      </c>
      <c r="E6" s="14" t="s">
        <v>33</v>
      </c>
      <c r="F6" s="14" t="s">
        <v>34</v>
      </c>
      <c r="G6" s="16">
        <f>280.65*(1/0.94*0.96)</f>
        <v>286.62</v>
      </c>
      <c r="H6" s="17">
        <f>ROUND(F6*G6,2)</f>
        <v>601.9</v>
      </c>
    </row>
    <row r="7" ht="33.75" spans="1:8">
      <c r="A7" s="14" t="s">
        <v>35</v>
      </c>
      <c r="B7" s="15" t="s">
        <v>36</v>
      </c>
      <c r="C7" s="15" t="s">
        <v>37</v>
      </c>
      <c r="D7" s="15" t="s">
        <v>38</v>
      </c>
      <c r="E7" s="14" t="s">
        <v>33</v>
      </c>
      <c r="F7" s="14" t="s">
        <v>39</v>
      </c>
      <c r="G7" s="16">
        <f>223.33*(1/0.94*0.96)</f>
        <v>228.08</v>
      </c>
      <c r="H7" s="17">
        <f t="shared" ref="H7:H53" si="0">ROUND(F7*G7,2)</f>
        <v>866.7</v>
      </c>
    </row>
    <row r="8" s="1" customFormat="1" ht="22.5" spans="1:8">
      <c r="A8" s="14" t="s">
        <v>40</v>
      </c>
      <c r="B8" s="15" t="s">
        <v>41</v>
      </c>
      <c r="C8" s="15" t="s">
        <v>42</v>
      </c>
      <c r="D8" s="15" t="s">
        <v>43</v>
      </c>
      <c r="E8" s="14" t="s">
        <v>33</v>
      </c>
      <c r="F8" s="14" t="s">
        <v>44</v>
      </c>
      <c r="G8" s="16">
        <f>19.99*(1/0.94*0.96)</f>
        <v>20.42</v>
      </c>
      <c r="H8" s="17">
        <f t="shared" si="0"/>
        <v>592.18</v>
      </c>
    </row>
    <row r="9" ht="33.75" spans="1:8">
      <c r="A9" s="14" t="s">
        <v>45</v>
      </c>
      <c r="B9" s="15" t="s">
        <v>46</v>
      </c>
      <c r="C9" s="15" t="s">
        <v>47</v>
      </c>
      <c r="D9" s="15" t="s">
        <v>48</v>
      </c>
      <c r="E9" s="14" t="s">
        <v>49</v>
      </c>
      <c r="F9" s="14" t="s">
        <v>50</v>
      </c>
      <c r="G9" s="16">
        <f>221.87*(1/0.94*0.96)</f>
        <v>226.59</v>
      </c>
      <c r="H9" s="17">
        <f t="shared" si="0"/>
        <v>290.04</v>
      </c>
    </row>
    <row r="10" s="2" customFormat="1" ht="22.5" spans="1:8">
      <c r="A10" s="14" t="s">
        <v>51</v>
      </c>
      <c r="B10" s="15" t="s">
        <v>52</v>
      </c>
      <c r="C10" s="15" t="s">
        <v>53</v>
      </c>
      <c r="D10" s="15" t="s">
        <v>54</v>
      </c>
      <c r="E10" s="14" t="s">
        <v>49</v>
      </c>
      <c r="F10" s="14" t="s">
        <v>55</v>
      </c>
      <c r="G10" s="16">
        <f>221.87*(1/0.94*0.96)</f>
        <v>226.59</v>
      </c>
      <c r="H10" s="17">
        <f t="shared" si="0"/>
        <v>484.9</v>
      </c>
    </row>
    <row r="11" spans="1:8">
      <c r="A11" s="14" t="s">
        <v>56</v>
      </c>
      <c r="B11" s="15" t="s">
        <v>57</v>
      </c>
      <c r="C11" s="15" t="s">
        <v>58</v>
      </c>
      <c r="D11" s="15" t="s">
        <v>59</v>
      </c>
      <c r="E11" s="14" t="s">
        <v>60</v>
      </c>
      <c r="F11" s="14" t="s">
        <v>61</v>
      </c>
      <c r="G11" s="16">
        <f>5.79*(1/0.94*0.96)</f>
        <v>5.91</v>
      </c>
      <c r="H11" s="17">
        <f t="shared" si="0"/>
        <v>43.91</v>
      </c>
    </row>
    <row r="12" spans="1:8">
      <c r="A12" s="14" t="s">
        <v>62</v>
      </c>
      <c r="B12" s="15" t="s">
        <v>63</v>
      </c>
      <c r="C12" s="15" t="s">
        <v>64</v>
      </c>
      <c r="D12" s="15" t="s">
        <v>65</v>
      </c>
      <c r="E12" s="14" t="s">
        <v>66</v>
      </c>
      <c r="F12" s="14" t="s">
        <v>67</v>
      </c>
      <c r="G12" s="16">
        <f>66.94*(1/0.94*0.96)</f>
        <v>68.36</v>
      </c>
      <c r="H12" s="17">
        <f t="shared" si="0"/>
        <v>546.88</v>
      </c>
    </row>
    <row r="13" ht="22.5" spans="1:8">
      <c r="A13" s="14" t="s">
        <v>67</v>
      </c>
      <c r="B13" s="15" t="s">
        <v>68</v>
      </c>
      <c r="C13" s="15" t="s">
        <v>69</v>
      </c>
      <c r="D13" s="15" t="s">
        <v>70</v>
      </c>
      <c r="E13" s="14" t="s">
        <v>60</v>
      </c>
      <c r="F13" s="14" t="s">
        <v>71</v>
      </c>
      <c r="G13" s="16">
        <f>163.4*(1/0.94*0.96)</f>
        <v>166.88</v>
      </c>
      <c r="H13" s="17">
        <f t="shared" si="0"/>
        <v>6236.31</v>
      </c>
    </row>
    <row r="14" ht="22.5" spans="1:8">
      <c r="A14" s="14" t="s">
        <v>72</v>
      </c>
      <c r="B14" s="15" t="s">
        <v>73</v>
      </c>
      <c r="C14" s="15" t="s">
        <v>74</v>
      </c>
      <c r="D14" s="15" t="s">
        <v>75</v>
      </c>
      <c r="E14" s="14" t="s">
        <v>76</v>
      </c>
      <c r="F14" s="14" t="s">
        <v>45</v>
      </c>
      <c r="G14" s="16">
        <f>504.23*(1/0.94*0.96)</f>
        <v>514.96</v>
      </c>
      <c r="H14" s="17">
        <f t="shared" si="0"/>
        <v>2059.84</v>
      </c>
    </row>
    <row r="15" ht="56.25" spans="1:8">
      <c r="A15" s="14" t="s">
        <v>77</v>
      </c>
      <c r="B15" s="15" t="s">
        <v>78</v>
      </c>
      <c r="C15" s="15" t="s">
        <v>79</v>
      </c>
      <c r="D15" s="15" t="s">
        <v>80</v>
      </c>
      <c r="E15" s="14" t="s">
        <v>60</v>
      </c>
      <c r="F15" s="14" t="s">
        <v>81</v>
      </c>
      <c r="G15" s="16">
        <f>9.71*(1/0.94*0.96)</f>
        <v>9.92</v>
      </c>
      <c r="H15" s="17">
        <f t="shared" si="0"/>
        <v>2589.12</v>
      </c>
    </row>
    <row r="16" spans="1:8">
      <c r="A16" s="14" t="s">
        <v>82</v>
      </c>
      <c r="B16" s="15" t="s">
        <v>83</v>
      </c>
      <c r="C16" s="15" t="s">
        <v>84</v>
      </c>
      <c r="D16" s="15" t="s">
        <v>85</v>
      </c>
      <c r="E16" s="14" t="s">
        <v>49</v>
      </c>
      <c r="F16" s="14" t="s">
        <v>86</v>
      </c>
      <c r="G16" s="16">
        <f>10.11*(1/0.94*0.96)</f>
        <v>10.33</v>
      </c>
      <c r="H16" s="17">
        <f t="shared" si="0"/>
        <v>1100.15</v>
      </c>
    </row>
    <row r="17" ht="22.5" spans="1:8">
      <c r="A17" s="14" t="s">
        <v>87</v>
      </c>
      <c r="B17" s="15" t="s">
        <v>88</v>
      </c>
      <c r="C17" s="15" t="s">
        <v>89</v>
      </c>
      <c r="D17" s="15" t="s">
        <v>90</v>
      </c>
      <c r="E17" s="14" t="s">
        <v>91</v>
      </c>
      <c r="F17" s="14" t="s">
        <v>35</v>
      </c>
      <c r="G17" s="16">
        <f>863.72*(1/0.94*0.96)</f>
        <v>882.1</v>
      </c>
      <c r="H17" s="17">
        <f t="shared" si="0"/>
        <v>1764.2</v>
      </c>
    </row>
    <row r="18" ht="101.25" spans="1:8">
      <c r="A18" s="14" t="s">
        <v>92</v>
      </c>
      <c r="B18" s="15" t="s">
        <v>93</v>
      </c>
      <c r="C18" s="15" t="s">
        <v>94</v>
      </c>
      <c r="D18" s="15" t="s">
        <v>95</v>
      </c>
      <c r="E18" s="14" t="s">
        <v>33</v>
      </c>
      <c r="F18" s="14" t="s">
        <v>96</v>
      </c>
      <c r="G18" s="16">
        <f>526.93*(1/0.94*0.96)</f>
        <v>538.14</v>
      </c>
      <c r="H18" s="17">
        <f t="shared" si="0"/>
        <v>1237.72</v>
      </c>
    </row>
    <row r="19" ht="78.75" spans="1:8">
      <c r="A19" s="14" t="s">
        <v>97</v>
      </c>
      <c r="B19" s="15" t="s">
        <v>98</v>
      </c>
      <c r="C19" s="15" t="s">
        <v>99</v>
      </c>
      <c r="D19" s="15" t="s">
        <v>100</v>
      </c>
      <c r="E19" s="14" t="s">
        <v>101</v>
      </c>
      <c r="F19" s="14" t="s">
        <v>29</v>
      </c>
      <c r="G19" s="16">
        <f>1334.08*(1/0.94*0.96)</f>
        <v>1362.46</v>
      </c>
      <c r="H19" s="17">
        <f t="shared" si="0"/>
        <v>1362.46</v>
      </c>
    </row>
    <row r="20" spans="1:8">
      <c r="A20" s="14" t="s">
        <v>102</v>
      </c>
      <c r="B20" s="15" t="s">
        <v>103</v>
      </c>
      <c r="C20" s="15" t="s">
        <v>104</v>
      </c>
      <c r="D20" s="15" t="s">
        <v>105</v>
      </c>
      <c r="E20" s="14" t="s">
        <v>91</v>
      </c>
      <c r="F20" s="14" t="s">
        <v>29</v>
      </c>
      <c r="G20" s="16">
        <f>564*(1/0.94*0.96)</f>
        <v>576</v>
      </c>
      <c r="H20" s="17">
        <f t="shared" si="0"/>
        <v>576</v>
      </c>
    </row>
    <row r="21" ht="56.25" spans="1:8">
      <c r="A21" s="14" t="s">
        <v>106</v>
      </c>
      <c r="B21" s="15" t="s">
        <v>107</v>
      </c>
      <c r="C21" s="15" t="s">
        <v>108</v>
      </c>
      <c r="D21" s="15" t="s">
        <v>109</v>
      </c>
      <c r="E21" s="14" t="s">
        <v>60</v>
      </c>
      <c r="F21" s="14" t="s">
        <v>110</v>
      </c>
      <c r="G21" s="16">
        <f>9.77*(1/0.94*0.96)</f>
        <v>9.98</v>
      </c>
      <c r="H21" s="17">
        <f t="shared" si="0"/>
        <v>199.6</v>
      </c>
    </row>
    <row r="22" ht="22.5" spans="1:8">
      <c r="A22" s="14" t="s">
        <v>111</v>
      </c>
      <c r="B22" s="15" t="s">
        <v>112</v>
      </c>
      <c r="C22" s="15" t="s">
        <v>113</v>
      </c>
      <c r="D22" s="15" t="s">
        <v>114</v>
      </c>
      <c r="E22" s="14" t="s">
        <v>33</v>
      </c>
      <c r="F22" s="14" t="s">
        <v>115</v>
      </c>
      <c r="G22" s="16">
        <f>5.42*(1/0.94*0.96)</f>
        <v>5.54</v>
      </c>
      <c r="H22" s="17">
        <f t="shared" si="0"/>
        <v>235.89</v>
      </c>
    </row>
    <row r="23" ht="22.5" spans="1:8">
      <c r="A23" s="14" t="s">
        <v>116</v>
      </c>
      <c r="B23" s="15" t="s">
        <v>117</v>
      </c>
      <c r="C23" s="15" t="s">
        <v>118</v>
      </c>
      <c r="D23" s="15" t="s">
        <v>119</v>
      </c>
      <c r="E23" s="14" t="s">
        <v>120</v>
      </c>
      <c r="F23" s="14" t="s">
        <v>87</v>
      </c>
      <c r="G23" s="16">
        <f>165.46*(1/0.94*0.96)</f>
        <v>168.98</v>
      </c>
      <c r="H23" s="17">
        <f t="shared" si="0"/>
        <v>2027.76</v>
      </c>
    </row>
    <row r="24" spans="1:8">
      <c r="A24" s="14" t="s">
        <v>121</v>
      </c>
      <c r="B24" s="15" t="s">
        <v>122</v>
      </c>
      <c r="C24" s="15" t="s">
        <v>123</v>
      </c>
      <c r="D24" s="15" t="s">
        <v>124</v>
      </c>
      <c r="E24" s="14" t="s">
        <v>49</v>
      </c>
      <c r="F24" s="14" t="s">
        <v>50</v>
      </c>
      <c r="G24" s="16">
        <f>84.48*(1/0.94*0.96)</f>
        <v>86.28</v>
      </c>
      <c r="H24" s="17">
        <f t="shared" si="0"/>
        <v>110.44</v>
      </c>
    </row>
    <row r="25" ht="33.75" spans="1:8">
      <c r="A25" s="14" t="s">
        <v>110</v>
      </c>
      <c r="B25" s="15" t="s">
        <v>125</v>
      </c>
      <c r="C25" s="15" t="s">
        <v>126</v>
      </c>
      <c r="D25" s="15" t="s">
        <v>127</v>
      </c>
      <c r="E25" s="14" t="s">
        <v>60</v>
      </c>
      <c r="F25" s="14" t="s">
        <v>128</v>
      </c>
      <c r="G25" s="16">
        <f>103.68*(1/0.94*0.96)</f>
        <v>105.89</v>
      </c>
      <c r="H25" s="17">
        <f t="shared" si="0"/>
        <v>261.55</v>
      </c>
    </row>
    <row r="26" spans="1:8">
      <c r="A26" s="14" t="s">
        <v>129</v>
      </c>
      <c r="B26" s="15" t="s">
        <v>130</v>
      </c>
      <c r="C26" s="15" t="s">
        <v>131</v>
      </c>
      <c r="D26" s="15" t="s">
        <v>132</v>
      </c>
      <c r="E26" s="14" t="s">
        <v>60</v>
      </c>
      <c r="F26" s="14" t="s">
        <v>133</v>
      </c>
      <c r="G26" s="16">
        <f>33.68*(1/0.94*0.96)</f>
        <v>34.4</v>
      </c>
      <c r="H26" s="17">
        <f t="shared" si="0"/>
        <v>585.83</v>
      </c>
    </row>
    <row r="27" ht="22.5" spans="1:8">
      <c r="A27" s="14" t="s">
        <v>134</v>
      </c>
      <c r="B27" s="15" t="s">
        <v>135</v>
      </c>
      <c r="C27" s="15" t="s">
        <v>136</v>
      </c>
      <c r="D27" s="15" t="s">
        <v>137</v>
      </c>
      <c r="E27" s="14" t="s">
        <v>60</v>
      </c>
      <c r="F27" s="14" t="s">
        <v>138</v>
      </c>
      <c r="G27" s="16">
        <f>25.74*(1/0.94*0.96)</f>
        <v>26.29</v>
      </c>
      <c r="H27" s="17">
        <f t="shared" si="0"/>
        <v>281.3</v>
      </c>
    </row>
    <row r="28" ht="45" spans="1:8">
      <c r="A28" s="14" t="s">
        <v>139</v>
      </c>
      <c r="B28" s="15" t="s">
        <v>140</v>
      </c>
      <c r="C28" s="15" t="s">
        <v>141</v>
      </c>
      <c r="D28" s="15" t="s">
        <v>142</v>
      </c>
      <c r="E28" s="14" t="s">
        <v>76</v>
      </c>
      <c r="F28" s="14" t="s">
        <v>29</v>
      </c>
      <c r="G28" s="16">
        <f>258.12*(1/0.94*0.96)</f>
        <v>263.61</v>
      </c>
      <c r="H28" s="17">
        <f t="shared" si="0"/>
        <v>263.61</v>
      </c>
    </row>
    <row r="29" ht="33.75" spans="1:8">
      <c r="A29" s="14" t="s">
        <v>143</v>
      </c>
      <c r="B29" s="15" t="s">
        <v>144</v>
      </c>
      <c r="C29" s="15" t="s">
        <v>145</v>
      </c>
      <c r="D29" s="15" t="s">
        <v>146</v>
      </c>
      <c r="E29" s="14" t="s">
        <v>49</v>
      </c>
      <c r="F29" s="14" t="s">
        <v>147</v>
      </c>
      <c r="G29" s="16">
        <f>3101.25*(1/0.94*0.96)</f>
        <v>3167.23</v>
      </c>
      <c r="H29" s="17">
        <f t="shared" si="0"/>
        <v>2565.46</v>
      </c>
    </row>
    <row r="30" spans="1:8">
      <c r="A30" s="14" t="s">
        <v>148</v>
      </c>
      <c r="B30" s="15" t="s">
        <v>149</v>
      </c>
      <c r="C30" s="15" t="s">
        <v>150</v>
      </c>
      <c r="D30" s="15" t="s">
        <v>132</v>
      </c>
      <c r="E30" s="14" t="s">
        <v>49</v>
      </c>
      <c r="F30" s="14" t="s">
        <v>151</v>
      </c>
      <c r="G30" s="16">
        <f>150.11*(1/0.94*0.96)</f>
        <v>153.3</v>
      </c>
      <c r="H30" s="17">
        <f t="shared" si="0"/>
        <v>95.05</v>
      </c>
    </row>
    <row r="31" ht="56.25" spans="1:8">
      <c r="A31" s="14" t="s">
        <v>152</v>
      </c>
      <c r="B31" s="15" t="s">
        <v>153</v>
      </c>
      <c r="C31" s="15" t="s">
        <v>154</v>
      </c>
      <c r="D31" s="15" t="s">
        <v>109</v>
      </c>
      <c r="E31" s="14" t="s">
        <v>60</v>
      </c>
      <c r="F31" s="14" t="s">
        <v>155</v>
      </c>
      <c r="G31" s="16">
        <f>9.77*(1/0.94*0.96)</f>
        <v>9.98</v>
      </c>
      <c r="H31" s="17">
        <f t="shared" si="0"/>
        <v>197.6</v>
      </c>
    </row>
    <row r="32" ht="22.5" spans="1:8">
      <c r="A32" s="14" t="s">
        <v>156</v>
      </c>
      <c r="B32" s="15" t="s">
        <v>157</v>
      </c>
      <c r="C32" s="15" t="s">
        <v>158</v>
      </c>
      <c r="D32" s="15" t="s">
        <v>159</v>
      </c>
      <c r="E32" s="14" t="s">
        <v>120</v>
      </c>
      <c r="F32" s="14" t="s">
        <v>110</v>
      </c>
      <c r="G32" s="16">
        <f>32.87*(1/0.94*0.96)</f>
        <v>33.57</v>
      </c>
      <c r="H32" s="17">
        <f t="shared" si="0"/>
        <v>671.4</v>
      </c>
    </row>
    <row r="33" spans="1:8">
      <c r="A33" s="14" t="s">
        <v>160</v>
      </c>
      <c r="B33" s="15" t="s">
        <v>161</v>
      </c>
      <c r="C33" s="15" t="s">
        <v>162</v>
      </c>
      <c r="D33" s="15" t="s">
        <v>132</v>
      </c>
      <c r="E33" s="14" t="s">
        <v>60</v>
      </c>
      <c r="F33" s="14" t="s">
        <v>163</v>
      </c>
      <c r="G33" s="16">
        <f>11.57*(1/0.94*0.96)</f>
        <v>11.82</v>
      </c>
      <c r="H33" s="17">
        <f t="shared" si="0"/>
        <v>1015.22</v>
      </c>
    </row>
    <row r="34" ht="22.5" spans="1:8">
      <c r="A34" s="14" t="s">
        <v>44</v>
      </c>
      <c r="B34" s="15" t="s">
        <v>164</v>
      </c>
      <c r="C34" s="15" t="s">
        <v>165</v>
      </c>
      <c r="D34" s="15" t="s">
        <v>166</v>
      </c>
      <c r="E34" s="14" t="s">
        <v>60</v>
      </c>
      <c r="F34" s="14" t="s">
        <v>167</v>
      </c>
      <c r="G34" s="16">
        <f>12.22*(1/0.94*0.96)</f>
        <v>12.48</v>
      </c>
      <c r="H34" s="17">
        <f t="shared" si="0"/>
        <v>625.87</v>
      </c>
    </row>
    <row r="35" ht="270" spans="1:8">
      <c r="A35" s="14" t="s">
        <v>168</v>
      </c>
      <c r="B35" s="15" t="s">
        <v>169</v>
      </c>
      <c r="C35" s="15" t="s">
        <v>170</v>
      </c>
      <c r="D35" s="15" t="s">
        <v>171</v>
      </c>
      <c r="E35" s="14" t="s">
        <v>76</v>
      </c>
      <c r="F35" s="14" t="s">
        <v>148</v>
      </c>
      <c r="G35" s="16">
        <f>55.72*(1/0.94*0.96)</f>
        <v>56.91</v>
      </c>
      <c r="H35" s="17">
        <f t="shared" si="0"/>
        <v>1422.75</v>
      </c>
    </row>
    <row r="36" ht="22.5" spans="1:8">
      <c r="A36" s="14" t="s">
        <v>172</v>
      </c>
      <c r="B36" s="15" t="s">
        <v>173</v>
      </c>
      <c r="C36" s="15" t="s">
        <v>31</v>
      </c>
      <c r="D36" s="15" t="s">
        <v>174</v>
      </c>
      <c r="E36" s="14" t="s">
        <v>33</v>
      </c>
      <c r="F36" s="14" t="s">
        <v>175</v>
      </c>
      <c r="G36" s="16">
        <f>227.82*(1/0.94*0.96)</f>
        <v>232.67</v>
      </c>
      <c r="H36" s="17">
        <f t="shared" si="0"/>
        <v>898.11</v>
      </c>
    </row>
    <row r="37" ht="22.5" spans="1:8">
      <c r="A37" s="14" t="s">
        <v>176</v>
      </c>
      <c r="B37" s="15" t="s">
        <v>177</v>
      </c>
      <c r="C37" s="15" t="s">
        <v>178</v>
      </c>
      <c r="D37" s="15" t="s">
        <v>132</v>
      </c>
      <c r="E37" s="14" t="s">
        <v>60</v>
      </c>
      <c r="F37" s="14" t="s">
        <v>179</v>
      </c>
      <c r="G37" s="16">
        <f>7.74*(1/0.94*0.96)</f>
        <v>7.9</v>
      </c>
      <c r="H37" s="17">
        <f t="shared" si="0"/>
        <v>280.06</v>
      </c>
    </row>
    <row r="38" spans="1:8">
      <c r="A38" s="14" t="s">
        <v>180</v>
      </c>
      <c r="B38" s="15" t="s">
        <v>181</v>
      </c>
      <c r="C38" s="15" t="s">
        <v>182</v>
      </c>
      <c r="D38" s="15" t="s">
        <v>132</v>
      </c>
      <c r="E38" s="14" t="s">
        <v>66</v>
      </c>
      <c r="F38" s="14" t="s">
        <v>29</v>
      </c>
      <c r="G38" s="16">
        <f>282*(1/0.94*0.96)</f>
        <v>288</v>
      </c>
      <c r="H38" s="17">
        <f t="shared" si="0"/>
        <v>288</v>
      </c>
    </row>
    <row r="39" spans="1:8">
      <c r="A39" s="14" t="s">
        <v>183</v>
      </c>
      <c r="B39" s="15" t="s">
        <v>184</v>
      </c>
      <c r="C39" s="15" t="s">
        <v>185</v>
      </c>
      <c r="D39" s="15" t="s">
        <v>132</v>
      </c>
      <c r="E39" s="14" t="s">
        <v>33</v>
      </c>
      <c r="F39" s="14" t="s">
        <v>186</v>
      </c>
      <c r="G39" s="16">
        <f>4.81*(1/0.94*0.96)</f>
        <v>4.91</v>
      </c>
      <c r="H39" s="17">
        <f t="shared" si="0"/>
        <v>85.88</v>
      </c>
    </row>
    <row r="40" spans="1:8">
      <c r="A40" s="14" t="s">
        <v>187</v>
      </c>
      <c r="B40" s="15" t="s">
        <v>188</v>
      </c>
      <c r="C40" s="15" t="s">
        <v>189</v>
      </c>
      <c r="D40" s="15" t="s">
        <v>132</v>
      </c>
      <c r="E40" s="14" t="s">
        <v>60</v>
      </c>
      <c r="F40" s="14" t="s">
        <v>190</v>
      </c>
      <c r="G40" s="16">
        <f>69.97*(1/0.94*0.96)</f>
        <v>71.46</v>
      </c>
      <c r="H40" s="17">
        <f t="shared" si="0"/>
        <v>2128.08</v>
      </c>
    </row>
    <row r="41" spans="1:8">
      <c r="A41" s="14" t="s">
        <v>191</v>
      </c>
      <c r="B41" s="15" t="s">
        <v>192</v>
      </c>
      <c r="C41" s="15" t="s">
        <v>193</v>
      </c>
      <c r="D41" s="15" t="s">
        <v>194</v>
      </c>
      <c r="E41" s="14" t="s">
        <v>195</v>
      </c>
      <c r="F41" s="14" t="s">
        <v>56</v>
      </c>
      <c r="G41" s="16">
        <f>84.6*(1/0.94*0.96)</f>
        <v>86.4</v>
      </c>
      <c r="H41" s="17">
        <f t="shared" si="0"/>
        <v>518.4</v>
      </c>
    </row>
    <row r="42" spans="1:8">
      <c r="A42" s="14" t="s">
        <v>196</v>
      </c>
      <c r="B42" s="15" t="s">
        <v>197</v>
      </c>
      <c r="C42" s="15" t="s">
        <v>193</v>
      </c>
      <c r="D42" s="15" t="s">
        <v>198</v>
      </c>
      <c r="E42" s="14" t="s">
        <v>195</v>
      </c>
      <c r="F42" s="14" t="s">
        <v>29</v>
      </c>
      <c r="G42" s="16">
        <f>244.4*(1/0.94*0.96)</f>
        <v>249.6</v>
      </c>
      <c r="H42" s="17">
        <f t="shared" si="0"/>
        <v>249.6</v>
      </c>
    </row>
    <row r="43" spans="1:8">
      <c r="A43" s="14" t="s">
        <v>199</v>
      </c>
      <c r="B43" s="15" t="s">
        <v>200</v>
      </c>
      <c r="C43" s="15" t="s">
        <v>201</v>
      </c>
      <c r="D43" s="15" t="s">
        <v>132</v>
      </c>
      <c r="E43" s="14" t="s">
        <v>60</v>
      </c>
      <c r="F43" s="14" t="s">
        <v>202</v>
      </c>
      <c r="G43" s="16">
        <f>11.57*(1/0.94*0.96)</f>
        <v>11.82</v>
      </c>
      <c r="H43" s="17">
        <f t="shared" si="0"/>
        <v>271.27</v>
      </c>
    </row>
    <row r="44" ht="33.75" spans="1:8">
      <c r="A44" s="14" t="s">
        <v>203</v>
      </c>
      <c r="B44" s="15" t="s">
        <v>204</v>
      </c>
      <c r="C44" s="15" t="s">
        <v>141</v>
      </c>
      <c r="D44" s="15" t="s">
        <v>205</v>
      </c>
      <c r="E44" s="14" t="s">
        <v>76</v>
      </c>
      <c r="F44" s="14" t="s">
        <v>29</v>
      </c>
      <c r="G44" s="16">
        <f>598.67*(1/0.94*0.96)</f>
        <v>611.41</v>
      </c>
      <c r="H44" s="17">
        <f t="shared" si="0"/>
        <v>611.41</v>
      </c>
    </row>
    <row r="45" ht="22.5" spans="1:8">
      <c r="A45" s="14" t="s">
        <v>206</v>
      </c>
      <c r="B45" s="15" t="s">
        <v>207</v>
      </c>
      <c r="C45" s="15" t="s">
        <v>208</v>
      </c>
      <c r="D45" s="15" t="s">
        <v>132</v>
      </c>
      <c r="E45" s="14" t="s">
        <v>33</v>
      </c>
      <c r="F45" s="14" t="s">
        <v>209</v>
      </c>
      <c r="G45" s="16">
        <f>55.12*(1/0.94*0.96)</f>
        <v>56.29</v>
      </c>
      <c r="H45" s="17">
        <f t="shared" si="0"/>
        <v>163.24</v>
      </c>
    </row>
    <row r="46" spans="1:8">
      <c r="A46" s="14" t="s">
        <v>210</v>
      </c>
      <c r="B46" s="15" t="s">
        <v>211</v>
      </c>
      <c r="C46" s="15" t="s">
        <v>212</v>
      </c>
      <c r="D46" s="15" t="s">
        <v>213</v>
      </c>
      <c r="E46" s="14" t="s">
        <v>60</v>
      </c>
      <c r="F46" s="14" t="s">
        <v>214</v>
      </c>
      <c r="G46" s="16">
        <f>7.2*(1/0.94*0.96)</f>
        <v>7.35</v>
      </c>
      <c r="H46" s="17">
        <f t="shared" si="0"/>
        <v>55.27</v>
      </c>
    </row>
    <row r="47" ht="22.5" spans="1:8">
      <c r="A47" s="14" t="s">
        <v>215</v>
      </c>
      <c r="B47" s="15" t="s">
        <v>216</v>
      </c>
      <c r="C47" s="15" t="s">
        <v>217</v>
      </c>
      <c r="D47" s="15" t="s">
        <v>132</v>
      </c>
      <c r="E47" s="14" t="s">
        <v>49</v>
      </c>
      <c r="F47" s="14" t="s">
        <v>218</v>
      </c>
      <c r="G47" s="16">
        <f>150.11*(1/0.94*0.96)</f>
        <v>153.3</v>
      </c>
      <c r="H47" s="17">
        <f t="shared" si="0"/>
        <v>2002.1</v>
      </c>
    </row>
    <row r="48" ht="22.5" spans="1:8">
      <c r="A48" s="14" t="s">
        <v>219</v>
      </c>
      <c r="B48" s="15" t="s">
        <v>220</v>
      </c>
      <c r="C48" s="15" t="s">
        <v>221</v>
      </c>
      <c r="D48" s="15" t="s">
        <v>132</v>
      </c>
      <c r="E48" s="14" t="s">
        <v>49</v>
      </c>
      <c r="F48" s="14" t="s">
        <v>222</v>
      </c>
      <c r="G48" s="16">
        <f>221.87*(1/0.94*0.96)</f>
        <v>226.59</v>
      </c>
      <c r="H48" s="17">
        <f t="shared" si="0"/>
        <v>131.42</v>
      </c>
    </row>
    <row r="49" ht="22.5" spans="1:8">
      <c r="A49" s="14" t="s">
        <v>223</v>
      </c>
      <c r="B49" s="15" t="s">
        <v>224</v>
      </c>
      <c r="C49" s="15" t="s">
        <v>225</v>
      </c>
      <c r="D49" s="15" t="s">
        <v>132</v>
      </c>
      <c r="E49" s="14" t="s">
        <v>60</v>
      </c>
      <c r="F49" s="14" t="s">
        <v>206</v>
      </c>
      <c r="G49" s="16">
        <f>65.8*(1/0.94*0.96)</f>
        <v>67.2</v>
      </c>
      <c r="H49" s="17">
        <f t="shared" si="0"/>
        <v>2688</v>
      </c>
    </row>
    <row r="50" ht="22.5" spans="1:8">
      <c r="A50" s="14" t="s">
        <v>226</v>
      </c>
      <c r="B50" s="15" t="s">
        <v>227</v>
      </c>
      <c r="C50" s="15" t="s">
        <v>228</v>
      </c>
      <c r="D50" s="15" t="s">
        <v>132</v>
      </c>
      <c r="E50" s="14" t="s">
        <v>60</v>
      </c>
      <c r="F50" s="14" t="s">
        <v>229</v>
      </c>
      <c r="G50" s="16">
        <f>65.8*(1/0.94*0.96)</f>
        <v>67.2</v>
      </c>
      <c r="H50" s="17">
        <f t="shared" si="0"/>
        <v>1646.4</v>
      </c>
    </row>
    <row r="51" ht="22.5" spans="1:8">
      <c r="A51" s="14" t="s">
        <v>230</v>
      </c>
      <c r="B51" s="15" t="s">
        <v>231</v>
      </c>
      <c r="C51" s="15" t="s">
        <v>232</v>
      </c>
      <c r="D51" s="15" t="s">
        <v>132</v>
      </c>
      <c r="E51" s="14" t="s">
        <v>33</v>
      </c>
      <c r="F51" s="14" t="s">
        <v>233</v>
      </c>
      <c r="G51" s="16">
        <f>18.8*(1/0.94*0.96)</f>
        <v>19.2</v>
      </c>
      <c r="H51" s="17">
        <f t="shared" si="0"/>
        <v>168.96</v>
      </c>
    </row>
    <row r="52" ht="22.5" spans="1:8">
      <c r="A52" s="14" t="s">
        <v>234</v>
      </c>
      <c r="B52" s="15" t="s">
        <v>235</v>
      </c>
      <c r="C52" s="15" t="s">
        <v>236</v>
      </c>
      <c r="D52" s="15" t="s">
        <v>132</v>
      </c>
      <c r="E52" s="14" t="s">
        <v>33</v>
      </c>
      <c r="F52" s="14" t="s">
        <v>233</v>
      </c>
      <c r="G52" s="16">
        <f>94*(1/0.94*0.96)</f>
        <v>96</v>
      </c>
      <c r="H52" s="17">
        <f t="shared" si="0"/>
        <v>844.8</v>
      </c>
    </row>
    <row r="53" ht="33.75" spans="1:8">
      <c r="A53" s="14" t="s">
        <v>237</v>
      </c>
      <c r="B53" s="15" t="s">
        <v>238</v>
      </c>
      <c r="C53" s="15" t="s">
        <v>239</v>
      </c>
      <c r="D53" s="15" t="s">
        <v>240</v>
      </c>
      <c r="E53" s="14" t="s">
        <v>49</v>
      </c>
      <c r="F53" s="14" t="s">
        <v>241</v>
      </c>
      <c r="G53" s="16">
        <f>53.27*(1/0.94*0.96)</f>
        <v>54.4</v>
      </c>
      <c r="H53" s="17">
        <f t="shared" si="0"/>
        <v>5110.34</v>
      </c>
    </row>
    <row r="54" spans="1:8">
      <c r="A54" s="11" t="s">
        <v>242</v>
      </c>
      <c r="B54" s="11"/>
      <c r="C54" s="11"/>
      <c r="D54" s="11"/>
      <c r="E54" s="11"/>
      <c r="F54" s="11"/>
      <c r="G54" s="16"/>
      <c r="H54" s="18"/>
    </row>
    <row r="55" ht="22.5" spans="1:8">
      <c r="A55" s="14" t="s">
        <v>29</v>
      </c>
      <c r="B55" s="15" t="s">
        <v>243</v>
      </c>
      <c r="C55" s="15" t="s">
        <v>244</v>
      </c>
      <c r="D55" s="15" t="s">
        <v>245</v>
      </c>
      <c r="E55" s="14" t="s">
        <v>49</v>
      </c>
      <c r="F55" s="14" t="s">
        <v>246</v>
      </c>
      <c r="G55" s="16">
        <f>500.54*(1/0.94*0.96)</f>
        <v>511.19</v>
      </c>
      <c r="H55" s="17">
        <f>ROUND(F55*G55,2)</f>
        <v>1001.93</v>
      </c>
    </row>
    <row r="56" ht="22.5" spans="1:8">
      <c r="A56" s="14" t="s">
        <v>35</v>
      </c>
      <c r="B56" s="15" t="s">
        <v>247</v>
      </c>
      <c r="C56" s="15" t="s">
        <v>248</v>
      </c>
      <c r="D56" s="15" t="s">
        <v>249</v>
      </c>
      <c r="E56" s="14" t="s">
        <v>250</v>
      </c>
      <c r="F56" s="14" t="s">
        <v>251</v>
      </c>
      <c r="G56" s="16">
        <f>4961.03*(1/0.94*0.96)</f>
        <v>5066.58</v>
      </c>
      <c r="H56" s="17">
        <f t="shared" ref="H56:H69" si="1">ROUND(F56*G56,2)</f>
        <v>197.6</v>
      </c>
    </row>
    <row r="57" ht="45" spans="1:8">
      <c r="A57" s="14" t="s">
        <v>40</v>
      </c>
      <c r="B57" s="15" t="s">
        <v>252</v>
      </c>
      <c r="C57" s="15" t="s">
        <v>253</v>
      </c>
      <c r="D57" s="15" t="s">
        <v>254</v>
      </c>
      <c r="E57" s="14" t="s">
        <v>60</v>
      </c>
      <c r="F57" s="14" t="s">
        <v>255</v>
      </c>
      <c r="G57" s="16">
        <f>72.78*(1/0.94*0.96)</f>
        <v>74.33</v>
      </c>
      <c r="H57" s="17">
        <f t="shared" si="1"/>
        <v>1395.92</v>
      </c>
    </row>
    <row r="58" spans="1:8">
      <c r="A58" s="14" t="s">
        <v>45</v>
      </c>
      <c r="B58" s="15" t="s">
        <v>256</v>
      </c>
      <c r="C58" s="15" t="s">
        <v>257</v>
      </c>
      <c r="D58" s="15" t="s">
        <v>258</v>
      </c>
      <c r="E58" s="14" t="s">
        <v>49</v>
      </c>
      <c r="F58" s="14" t="s">
        <v>259</v>
      </c>
      <c r="G58" s="16">
        <f>598.48*(1/0.94*0.96)</f>
        <v>611.21</v>
      </c>
      <c r="H58" s="17">
        <f t="shared" si="1"/>
        <v>1338.55</v>
      </c>
    </row>
    <row r="59" spans="1:8">
      <c r="A59" s="14" t="s">
        <v>51</v>
      </c>
      <c r="B59" s="15" t="s">
        <v>260</v>
      </c>
      <c r="C59" s="15" t="s">
        <v>261</v>
      </c>
      <c r="D59" s="15" t="s">
        <v>262</v>
      </c>
      <c r="E59" s="14" t="s">
        <v>49</v>
      </c>
      <c r="F59" s="14" t="s">
        <v>263</v>
      </c>
      <c r="G59" s="16">
        <f>672.83*(1/0.94*0.96)</f>
        <v>687.15</v>
      </c>
      <c r="H59" s="17">
        <f t="shared" si="1"/>
        <v>185.53</v>
      </c>
    </row>
    <row r="60" spans="1:8">
      <c r="A60" s="14" t="s">
        <v>56</v>
      </c>
      <c r="B60" s="15" t="s">
        <v>264</v>
      </c>
      <c r="C60" s="15" t="s">
        <v>265</v>
      </c>
      <c r="D60" s="15" t="s">
        <v>266</v>
      </c>
      <c r="E60" s="14" t="s">
        <v>49</v>
      </c>
      <c r="F60" s="14" t="s">
        <v>267</v>
      </c>
      <c r="G60" s="16">
        <f>591.97*(1/0.94*0.96)</f>
        <v>604.57</v>
      </c>
      <c r="H60" s="17">
        <f t="shared" si="1"/>
        <v>4848.65</v>
      </c>
    </row>
    <row r="61" ht="22.5" spans="1:8">
      <c r="A61" s="14" t="s">
        <v>62</v>
      </c>
      <c r="B61" s="15" t="s">
        <v>268</v>
      </c>
      <c r="C61" s="15" t="s">
        <v>269</v>
      </c>
      <c r="D61" s="15" t="s">
        <v>270</v>
      </c>
      <c r="E61" s="14" t="s">
        <v>60</v>
      </c>
      <c r="F61" s="14" t="s">
        <v>271</v>
      </c>
      <c r="G61" s="16">
        <f>31.53*(1/0.94*0.96)</f>
        <v>32.2</v>
      </c>
      <c r="H61" s="17">
        <f t="shared" si="1"/>
        <v>3731.66</v>
      </c>
    </row>
    <row r="62" ht="22.5" spans="1:8">
      <c r="A62" s="14" t="s">
        <v>67</v>
      </c>
      <c r="B62" s="15" t="s">
        <v>272</v>
      </c>
      <c r="C62" s="15" t="s">
        <v>273</v>
      </c>
      <c r="D62" s="15" t="s">
        <v>274</v>
      </c>
      <c r="E62" s="14" t="s">
        <v>49</v>
      </c>
      <c r="F62" s="14" t="s">
        <v>275</v>
      </c>
      <c r="G62" s="16">
        <f>683.81*(1/0.94*0.96)</f>
        <v>698.36</v>
      </c>
      <c r="H62" s="17">
        <f t="shared" si="1"/>
        <v>907.87</v>
      </c>
    </row>
    <row r="63" ht="45" spans="1:8">
      <c r="A63" s="14" t="s">
        <v>72</v>
      </c>
      <c r="B63" s="15" t="s">
        <v>276</v>
      </c>
      <c r="C63" s="15" t="s">
        <v>277</v>
      </c>
      <c r="D63" s="15" t="s">
        <v>278</v>
      </c>
      <c r="E63" s="14" t="s">
        <v>49</v>
      </c>
      <c r="F63" s="14" t="s">
        <v>279</v>
      </c>
      <c r="G63" s="16">
        <f>705.24*(1/0.94*0.96)</f>
        <v>720.25</v>
      </c>
      <c r="H63" s="17">
        <f t="shared" si="1"/>
        <v>201.67</v>
      </c>
    </row>
    <row r="64" ht="22.5" spans="1:8">
      <c r="A64" s="14" t="s">
        <v>77</v>
      </c>
      <c r="B64" s="15" t="s">
        <v>280</v>
      </c>
      <c r="C64" s="15" t="s">
        <v>281</v>
      </c>
      <c r="D64" s="15" t="s">
        <v>282</v>
      </c>
      <c r="E64" s="14" t="s">
        <v>60</v>
      </c>
      <c r="F64" s="14" t="s">
        <v>283</v>
      </c>
      <c r="G64" s="16">
        <f>38.23*(1/0.94*0.96)</f>
        <v>39.04</v>
      </c>
      <c r="H64" s="17">
        <f t="shared" si="1"/>
        <v>1409.34</v>
      </c>
    </row>
    <row r="65" ht="22.5" spans="1:8">
      <c r="A65" s="14" t="s">
        <v>82</v>
      </c>
      <c r="B65" s="15" t="s">
        <v>284</v>
      </c>
      <c r="C65" s="15" t="s">
        <v>285</v>
      </c>
      <c r="D65" s="15" t="s">
        <v>282</v>
      </c>
      <c r="E65" s="14" t="s">
        <v>60</v>
      </c>
      <c r="F65" s="14" t="s">
        <v>286</v>
      </c>
      <c r="G65" s="16">
        <f>42.73*(1/0.94*0.96)</f>
        <v>43.64</v>
      </c>
      <c r="H65" s="17">
        <f t="shared" si="1"/>
        <v>2473.52</v>
      </c>
    </row>
    <row r="66" spans="1:8">
      <c r="A66" s="14" t="s">
        <v>87</v>
      </c>
      <c r="B66" s="15" t="s">
        <v>287</v>
      </c>
      <c r="C66" s="15" t="s">
        <v>288</v>
      </c>
      <c r="D66" s="15"/>
      <c r="E66" s="14" t="s">
        <v>60</v>
      </c>
      <c r="F66" s="14" t="s">
        <v>289</v>
      </c>
      <c r="G66" s="16">
        <f>87.04*(1/0.94*0.96)</f>
        <v>88.89</v>
      </c>
      <c r="H66" s="17">
        <f t="shared" si="1"/>
        <v>1450.68</v>
      </c>
    </row>
    <row r="67" spans="1:8">
      <c r="A67" s="14" t="s">
        <v>92</v>
      </c>
      <c r="B67" s="15" t="s">
        <v>290</v>
      </c>
      <c r="C67" s="15" t="s">
        <v>291</v>
      </c>
      <c r="D67" s="15"/>
      <c r="E67" s="14" t="s">
        <v>60</v>
      </c>
      <c r="F67" s="14">
        <v>5.51</v>
      </c>
      <c r="G67" s="16">
        <f>84.69*(1/0.94*0.96)</f>
        <v>86.49</v>
      </c>
      <c r="H67" s="17">
        <f t="shared" si="1"/>
        <v>476.56</v>
      </c>
    </row>
    <row r="68" ht="22.5" spans="1:8">
      <c r="A68" s="14" t="s">
        <v>97</v>
      </c>
      <c r="B68" s="15" t="s">
        <v>292</v>
      </c>
      <c r="C68" s="15" t="s">
        <v>293</v>
      </c>
      <c r="D68" s="15"/>
      <c r="E68" s="14" t="s">
        <v>60</v>
      </c>
      <c r="F68" s="14">
        <v>681.98</v>
      </c>
      <c r="G68" s="16">
        <f>58.67*(1/0.94*0.96)</f>
        <v>59.92</v>
      </c>
      <c r="H68" s="17">
        <f t="shared" si="1"/>
        <v>40864.24</v>
      </c>
    </row>
    <row r="69" spans="1:8">
      <c r="A69" s="14" t="s">
        <v>102</v>
      </c>
      <c r="B69" s="15" t="s">
        <v>294</v>
      </c>
      <c r="C69" s="15" t="s">
        <v>295</v>
      </c>
      <c r="D69" s="15"/>
      <c r="E69" s="14" t="s">
        <v>60</v>
      </c>
      <c r="F69" s="14" t="s">
        <v>296</v>
      </c>
      <c r="G69" s="16">
        <f>3.98*(1/0.94*0.96)</f>
        <v>4.06</v>
      </c>
      <c r="H69" s="17">
        <f t="shared" si="1"/>
        <v>317.7</v>
      </c>
    </row>
    <row r="70" spans="1:8">
      <c r="A70" s="11" t="s">
        <v>297</v>
      </c>
      <c r="B70" s="11"/>
      <c r="C70" s="11"/>
      <c r="D70" s="11"/>
      <c r="E70" s="11"/>
      <c r="F70" s="11"/>
      <c r="G70" s="16"/>
      <c r="H70" s="18"/>
    </row>
    <row r="71" ht="56.25" spans="1:8">
      <c r="A71" s="14" t="s">
        <v>29</v>
      </c>
      <c r="B71" s="15" t="s">
        <v>298</v>
      </c>
      <c r="C71" s="15" t="s">
        <v>299</v>
      </c>
      <c r="D71" s="15" t="s">
        <v>300</v>
      </c>
      <c r="E71" s="14" t="s">
        <v>60</v>
      </c>
      <c r="F71" s="14" t="s">
        <v>35</v>
      </c>
      <c r="G71" s="16">
        <f>211.53*(1/0.94*0.96)</f>
        <v>216.03</v>
      </c>
      <c r="H71" s="17">
        <f t="shared" ref="H71:H76" si="2">ROUND(F71*G71,2)</f>
        <v>432.06</v>
      </c>
    </row>
    <row r="72" ht="22.5" spans="1:8">
      <c r="A72" s="14" t="s">
        <v>35</v>
      </c>
      <c r="B72" s="15" t="s">
        <v>301</v>
      </c>
      <c r="C72" s="15" t="s">
        <v>302</v>
      </c>
      <c r="D72" s="15" t="s">
        <v>303</v>
      </c>
      <c r="E72" s="14" t="s">
        <v>60</v>
      </c>
      <c r="F72" s="14" t="s">
        <v>304</v>
      </c>
      <c r="G72" s="16">
        <f>90.93*(1/0.94*0.96)</f>
        <v>92.86</v>
      </c>
      <c r="H72" s="17">
        <f t="shared" si="2"/>
        <v>5022.8</v>
      </c>
    </row>
    <row r="73" ht="67.5" spans="1:8">
      <c r="A73" s="14" t="s">
        <v>40</v>
      </c>
      <c r="B73" s="15" t="s">
        <v>305</v>
      </c>
      <c r="C73" s="15" t="s">
        <v>306</v>
      </c>
      <c r="D73" s="15" t="s">
        <v>307</v>
      </c>
      <c r="E73" s="14" t="s">
        <v>60</v>
      </c>
      <c r="F73" s="14" t="s">
        <v>308</v>
      </c>
      <c r="G73" s="16">
        <f>236.44*(1/0.94*0.96)</f>
        <v>241.47</v>
      </c>
      <c r="H73" s="17">
        <f t="shared" si="2"/>
        <v>11228.36</v>
      </c>
    </row>
    <row r="74" ht="33.75" spans="1:8">
      <c r="A74" s="14" t="s">
        <v>45</v>
      </c>
      <c r="B74" s="15" t="s">
        <v>309</v>
      </c>
      <c r="C74" s="15" t="s">
        <v>310</v>
      </c>
      <c r="D74" s="15" t="s">
        <v>311</v>
      </c>
      <c r="E74" s="14" t="s">
        <v>60</v>
      </c>
      <c r="F74" s="14" t="s">
        <v>312</v>
      </c>
      <c r="G74" s="16">
        <f>179.31*(1/0.94*0.96)</f>
        <v>183.13</v>
      </c>
      <c r="H74" s="17">
        <f t="shared" si="2"/>
        <v>9462.33</v>
      </c>
    </row>
    <row r="75" spans="1:8">
      <c r="A75" s="11" t="s">
        <v>313</v>
      </c>
      <c r="B75" s="11"/>
      <c r="C75" s="11"/>
      <c r="D75" s="11"/>
      <c r="E75" s="11"/>
      <c r="F75" s="11"/>
      <c r="G75" s="16"/>
      <c r="H75" s="18"/>
    </row>
    <row r="76" ht="22.5" spans="1:8">
      <c r="A76" s="14" t="s">
        <v>29</v>
      </c>
      <c r="B76" s="15" t="s">
        <v>314</v>
      </c>
      <c r="C76" s="15" t="s">
        <v>315</v>
      </c>
      <c r="D76" s="15" t="s">
        <v>316</v>
      </c>
      <c r="E76" s="14" t="s">
        <v>60</v>
      </c>
      <c r="F76" s="14" t="s">
        <v>317</v>
      </c>
      <c r="G76" s="16">
        <f>108.75*(1/0.94*0.96)</f>
        <v>111.06</v>
      </c>
      <c r="H76" s="17">
        <f t="shared" si="2"/>
        <v>5582.99</v>
      </c>
    </row>
    <row r="77" spans="1:8">
      <c r="A77" s="14" t="s">
        <v>35</v>
      </c>
      <c r="B77" s="15" t="s">
        <v>318</v>
      </c>
      <c r="C77" s="15" t="s">
        <v>319</v>
      </c>
      <c r="D77" s="15" t="s">
        <v>320</v>
      </c>
      <c r="E77" s="14" t="s">
        <v>60</v>
      </c>
      <c r="F77" s="14" t="s">
        <v>321</v>
      </c>
      <c r="G77" s="16">
        <f>35.59*(1/0.94*0.96)</f>
        <v>36.35</v>
      </c>
      <c r="H77" s="17">
        <f t="shared" ref="H77:H85" si="3">ROUND(F77*G77,2)</f>
        <v>8114.77</v>
      </c>
    </row>
    <row r="78" spans="1:8">
      <c r="A78" s="14" t="s">
        <v>40</v>
      </c>
      <c r="B78" s="15" t="s">
        <v>322</v>
      </c>
      <c r="C78" s="15" t="s">
        <v>319</v>
      </c>
      <c r="D78" s="15" t="s">
        <v>323</v>
      </c>
      <c r="E78" s="14" t="s">
        <v>60</v>
      </c>
      <c r="F78" s="14" t="s">
        <v>324</v>
      </c>
      <c r="G78" s="16">
        <f>36.24*(1/0.94*0.96)</f>
        <v>37.01</v>
      </c>
      <c r="H78" s="17">
        <f t="shared" si="3"/>
        <v>1129.18</v>
      </c>
    </row>
    <row r="79" ht="56.25" spans="1:8">
      <c r="A79" s="14" t="s">
        <v>45</v>
      </c>
      <c r="B79" s="15" t="s">
        <v>325</v>
      </c>
      <c r="C79" s="15" t="s">
        <v>315</v>
      </c>
      <c r="D79" s="15" t="s">
        <v>326</v>
      </c>
      <c r="E79" s="14" t="s">
        <v>60</v>
      </c>
      <c r="F79" s="14" t="s">
        <v>327</v>
      </c>
      <c r="G79" s="16">
        <f>126.66*(1/0.94*0.96)</f>
        <v>129.35</v>
      </c>
      <c r="H79" s="17">
        <f t="shared" si="3"/>
        <v>4291.83</v>
      </c>
    </row>
    <row r="80" ht="67.5" spans="1:8">
      <c r="A80" s="14" t="s">
        <v>51</v>
      </c>
      <c r="B80" s="15" t="s">
        <v>328</v>
      </c>
      <c r="C80" s="15" t="s">
        <v>315</v>
      </c>
      <c r="D80" s="15" t="s">
        <v>329</v>
      </c>
      <c r="E80" s="14" t="s">
        <v>60</v>
      </c>
      <c r="F80" s="14" t="s">
        <v>330</v>
      </c>
      <c r="G80" s="16">
        <f>146.26*(1/0.94*0.96)</f>
        <v>149.37</v>
      </c>
      <c r="H80" s="17">
        <f t="shared" si="3"/>
        <v>16760.81</v>
      </c>
    </row>
    <row r="81" ht="45" spans="1:8">
      <c r="A81" s="14" t="s">
        <v>56</v>
      </c>
      <c r="B81" s="15" t="s">
        <v>331</v>
      </c>
      <c r="C81" s="15" t="s">
        <v>332</v>
      </c>
      <c r="D81" s="15" t="s">
        <v>333</v>
      </c>
      <c r="E81" s="14" t="s">
        <v>60</v>
      </c>
      <c r="F81" s="14" t="s">
        <v>334</v>
      </c>
      <c r="G81" s="16">
        <f>249.78*(1/0.94*0.96)</f>
        <v>255.09</v>
      </c>
      <c r="H81" s="17">
        <f t="shared" si="3"/>
        <v>2260.1</v>
      </c>
    </row>
    <row r="82" ht="45" spans="1:8">
      <c r="A82" s="14" t="s">
        <v>62</v>
      </c>
      <c r="B82" s="15" t="s">
        <v>335</v>
      </c>
      <c r="C82" s="15" t="s">
        <v>332</v>
      </c>
      <c r="D82" s="15" t="s">
        <v>336</v>
      </c>
      <c r="E82" s="14" t="s">
        <v>60</v>
      </c>
      <c r="F82" s="14" t="s">
        <v>337</v>
      </c>
      <c r="G82" s="16">
        <f>211.89*(1/0.94*0.96)</f>
        <v>216.4</v>
      </c>
      <c r="H82" s="17">
        <f t="shared" si="3"/>
        <v>571.3</v>
      </c>
    </row>
    <row r="83" ht="78.75" spans="1:8">
      <c r="A83" s="14" t="s">
        <v>67</v>
      </c>
      <c r="B83" s="15" t="s">
        <v>338</v>
      </c>
      <c r="C83" s="15" t="s">
        <v>315</v>
      </c>
      <c r="D83" s="15" t="s">
        <v>339</v>
      </c>
      <c r="E83" s="14" t="s">
        <v>60</v>
      </c>
      <c r="F83" s="14" t="s">
        <v>340</v>
      </c>
      <c r="G83" s="16">
        <f>296.08*(1/0.94*0.96)</f>
        <v>302.38</v>
      </c>
      <c r="H83" s="17">
        <f t="shared" si="3"/>
        <v>1276.04</v>
      </c>
    </row>
    <row r="84" ht="45" spans="1:8">
      <c r="A84" s="14" t="s">
        <v>72</v>
      </c>
      <c r="B84" s="15" t="s">
        <v>341</v>
      </c>
      <c r="C84" s="15" t="s">
        <v>315</v>
      </c>
      <c r="D84" s="15" t="s">
        <v>342</v>
      </c>
      <c r="E84" s="14" t="s">
        <v>60</v>
      </c>
      <c r="F84" s="14" t="s">
        <v>343</v>
      </c>
      <c r="G84" s="16">
        <f>300.17*(1/0.94*0.96)</f>
        <v>306.56</v>
      </c>
      <c r="H84" s="17">
        <f t="shared" si="3"/>
        <v>1903.74</v>
      </c>
    </row>
    <row r="85" ht="33.75" spans="1:8">
      <c r="A85" s="14" t="s">
        <v>77</v>
      </c>
      <c r="B85" s="15" t="s">
        <v>344</v>
      </c>
      <c r="C85" s="15" t="s">
        <v>315</v>
      </c>
      <c r="D85" s="15" t="s">
        <v>345</v>
      </c>
      <c r="E85" s="14" t="s">
        <v>60</v>
      </c>
      <c r="F85" s="14" t="s">
        <v>346</v>
      </c>
      <c r="G85" s="16">
        <f>364.83*(1/0.94*0.96)</f>
        <v>372.59</v>
      </c>
      <c r="H85" s="17">
        <f t="shared" si="3"/>
        <v>707.92</v>
      </c>
    </row>
    <row r="86" spans="1:8">
      <c r="A86" s="11" t="s">
        <v>347</v>
      </c>
      <c r="B86" s="11"/>
      <c r="C86" s="11"/>
      <c r="D86" s="11"/>
      <c r="E86" s="11"/>
      <c r="F86" s="11"/>
      <c r="G86" s="16"/>
      <c r="H86" s="18"/>
    </row>
    <row r="87" ht="45" spans="1:8">
      <c r="A87" s="14" t="s">
        <v>29</v>
      </c>
      <c r="B87" s="15" t="s">
        <v>348</v>
      </c>
      <c r="C87" s="15" t="s">
        <v>349</v>
      </c>
      <c r="D87" s="15" t="s">
        <v>350</v>
      </c>
      <c r="E87" s="14" t="s">
        <v>60</v>
      </c>
      <c r="F87" s="14" t="s">
        <v>351</v>
      </c>
      <c r="G87" s="16">
        <f>624.48*(1/0.94*0.96)</f>
        <v>637.77</v>
      </c>
      <c r="H87" s="17">
        <f>ROUND(F87*G87,2)</f>
        <v>860.99</v>
      </c>
    </row>
    <row r="88" ht="45" spans="1:8">
      <c r="A88" s="14" t="s">
        <v>35</v>
      </c>
      <c r="B88" s="15" t="s">
        <v>352</v>
      </c>
      <c r="C88" s="15" t="s">
        <v>349</v>
      </c>
      <c r="D88" s="15" t="s">
        <v>353</v>
      </c>
      <c r="E88" s="14" t="s">
        <v>60</v>
      </c>
      <c r="F88" s="14" t="s">
        <v>354</v>
      </c>
      <c r="G88" s="16">
        <f>630.91*(1/0.94*0.96)</f>
        <v>644.33</v>
      </c>
      <c r="H88" s="17">
        <f t="shared" ref="H88:H109" si="4">ROUND(F88*G88,2)</f>
        <v>4671.39</v>
      </c>
    </row>
    <row r="89" ht="22.5" spans="1:8">
      <c r="A89" s="14" t="s">
        <v>40</v>
      </c>
      <c r="B89" s="15" t="s">
        <v>355</v>
      </c>
      <c r="C89" s="15" t="s">
        <v>356</v>
      </c>
      <c r="D89" s="15" t="s">
        <v>357</v>
      </c>
      <c r="E89" s="14" t="s">
        <v>60</v>
      </c>
      <c r="F89" s="14" t="s">
        <v>358</v>
      </c>
      <c r="G89" s="16">
        <f>420.67*(1/0.94*0.96)</f>
        <v>429.62</v>
      </c>
      <c r="H89" s="17">
        <f t="shared" si="4"/>
        <v>9919.93</v>
      </c>
    </row>
    <row r="90" ht="78.75" spans="1:8">
      <c r="A90" s="14" t="s">
        <v>45</v>
      </c>
      <c r="B90" s="15" t="s">
        <v>359</v>
      </c>
      <c r="C90" s="15" t="s">
        <v>360</v>
      </c>
      <c r="D90" s="15" t="s">
        <v>361</v>
      </c>
      <c r="E90" s="14" t="s">
        <v>76</v>
      </c>
      <c r="F90" s="14" t="s">
        <v>40</v>
      </c>
      <c r="G90" s="16">
        <f>13743.41*(1/0.94*0.96)</f>
        <v>14035.82</v>
      </c>
      <c r="H90" s="17">
        <f t="shared" si="4"/>
        <v>42107.46</v>
      </c>
    </row>
    <row r="91" ht="22.5" spans="1:8">
      <c r="A91" s="14" t="s">
        <v>51</v>
      </c>
      <c r="B91" s="15" t="s">
        <v>362</v>
      </c>
      <c r="C91" s="15" t="s">
        <v>363</v>
      </c>
      <c r="D91" s="15" t="s">
        <v>364</v>
      </c>
      <c r="E91" s="14" t="s">
        <v>60</v>
      </c>
      <c r="F91" s="14" t="s">
        <v>365</v>
      </c>
      <c r="G91" s="16">
        <f>293.41*(1/0.94*0.96)</f>
        <v>299.65</v>
      </c>
      <c r="H91" s="17">
        <f t="shared" si="4"/>
        <v>1537.2</v>
      </c>
    </row>
    <row r="92" ht="22.5" spans="1:8">
      <c r="A92" s="14" t="s">
        <v>56</v>
      </c>
      <c r="B92" s="15" t="s">
        <v>366</v>
      </c>
      <c r="C92" s="15" t="s">
        <v>367</v>
      </c>
      <c r="D92" s="15" t="s">
        <v>368</v>
      </c>
      <c r="E92" s="14" t="s">
        <v>60</v>
      </c>
      <c r="F92" s="14" t="s">
        <v>369</v>
      </c>
      <c r="G92" s="16">
        <f>30.44*(1/0.94*0.96)</f>
        <v>31.09</v>
      </c>
      <c r="H92" s="17">
        <f t="shared" si="4"/>
        <v>6777.93</v>
      </c>
    </row>
    <row r="93" ht="22.5" spans="1:8">
      <c r="A93" s="14" t="s">
        <v>62</v>
      </c>
      <c r="B93" s="15" t="s">
        <v>370</v>
      </c>
      <c r="C93" s="15" t="s">
        <v>371</v>
      </c>
      <c r="D93" s="15" t="s">
        <v>372</v>
      </c>
      <c r="E93" s="14" t="s">
        <v>33</v>
      </c>
      <c r="F93" s="14" t="s">
        <v>373</v>
      </c>
      <c r="G93" s="16">
        <f>38.79*(1/0.94*0.96)</f>
        <v>39.62</v>
      </c>
      <c r="H93" s="17">
        <f t="shared" si="4"/>
        <v>3605.42</v>
      </c>
    </row>
    <row r="94" ht="22.5" spans="1:8">
      <c r="A94" s="14" t="s">
        <v>67</v>
      </c>
      <c r="B94" s="15" t="s">
        <v>374</v>
      </c>
      <c r="C94" s="15" t="s">
        <v>375</v>
      </c>
      <c r="D94" s="15" t="s">
        <v>376</v>
      </c>
      <c r="E94" s="14" t="s">
        <v>60</v>
      </c>
      <c r="F94" s="14" t="s">
        <v>377</v>
      </c>
      <c r="G94" s="16">
        <f>201.17*(1/0.94*0.96)</f>
        <v>205.45</v>
      </c>
      <c r="H94" s="17">
        <f t="shared" si="4"/>
        <v>690.31</v>
      </c>
    </row>
    <row r="95" spans="1:8">
      <c r="A95" s="14" t="s">
        <v>72</v>
      </c>
      <c r="B95" s="15" t="s">
        <v>378</v>
      </c>
      <c r="C95" s="15" t="s">
        <v>379</v>
      </c>
      <c r="D95" s="15" t="s">
        <v>380</v>
      </c>
      <c r="E95" s="14" t="s">
        <v>60</v>
      </c>
      <c r="F95" s="14" t="s">
        <v>381</v>
      </c>
      <c r="G95" s="16">
        <f>195.13*(1/0.94*0.96)</f>
        <v>199.28</v>
      </c>
      <c r="H95" s="17">
        <f t="shared" si="4"/>
        <v>1763.63</v>
      </c>
    </row>
    <row r="96" ht="45" spans="1:8">
      <c r="A96" s="14" t="s">
        <v>77</v>
      </c>
      <c r="B96" s="15" t="s">
        <v>382</v>
      </c>
      <c r="C96" s="15" t="s">
        <v>379</v>
      </c>
      <c r="D96" s="15" t="s">
        <v>383</v>
      </c>
      <c r="E96" s="14" t="s">
        <v>60</v>
      </c>
      <c r="F96" s="14" t="s">
        <v>384</v>
      </c>
      <c r="G96" s="16">
        <f>308.59*(1/0.94*0.96)</f>
        <v>315.16</v>
      </c>
      <c r="H96" s="17">
        <f t="shared" si="4"/>
        <v>1175.55</v>
      </c>
    </row>
    <row r="97" ht="67.5" spans="1:8">
      <c r="A97" s="14" t="s">
        <v>82</v>
      </c>
      <c r="B97" s="15" t="s">
        <v>385</v>
      </c>
      <c r="C97" s="15" t="s">
        <v>386</v>
      </c>
      <c r="D97" s="15" t="s">
        <v>387</v>
      </c>
      <c r="E97" s="14" t="s">
        <v>60</v>
      </c>
      <c r="F97" s="14" t="s">
        <v>388</v>
      </c>
      <c r="G97" s="16">
        <f>288.75*(1/0.94*0.96)</f>
        <v>294.89</v>
      </c>
      <c r="H97" s="17">
        <f t="shared" si="4"/>
        <v>2438.74</v>
      </c>
    </row>
    <row r="98" ht="33.75" spans="1:8">
      <c r="A98" s="14" t="s">
        <v>87</v>
      </c>
      <c r="B98" s="15" t="s">
        <v>389</v>
      </c>
      <c r="C98" s="15" t="s">
        <v>349</v>
      </c>
      <c r="D98" s="15" t="s">
        <v>390</v>
      </c>
      <c r="E98" s="14" t="s">
        <v>60</v>
      </c>
      <c r="F98" s="14" t="s">
        <v>391</v>
      </c>
      <c r="G98" s="16">
        <f>385.91*(1/0.94*0.96)</f>
        <v>394.12</v>
      </c>
      <c r="H98" s="17">
        <f t="shared" si="4"/>
        <v>3436.73</v>
      </c>
    </row>
    <row r="99" ht="56.25" spans="1:8">
      <c r="A99" s="14" t="s">
        <v>92</v>
      </c>
      <c r="B99" s="15" t="s">
        <v>392</v>
      </c>
      <c r="C99" s="15" t="s">
        <v>386</v>
      </c>
      <c r="D99" s="15" t="s">
        <v>393</v>
      </c>
      <c r="E99" s="14" t="s">
        <v>60</v>
      </c>
      <c r="F99" s="14" t="s">
        <v>394</v>
      </c>
      <c r="G99" s="16">
        <f>262.22*(1/0.94*0.96)</f>
        <v>267.8</v>
      </c>
      <c r="H99" s="17">
        <f t="shared" si="4"/>
        <v>1724.63</v>
      </c>
    </row>
    <row r="100" ht="56.25" spans="1:8">
      <c r="A100" s="14" t="s">
        <v>97</v>
      </c>
      <c r="B100" s="15" t="s">
        <v>395</v>
      </c>
      <c r="C100" s="15" t="s">
        <v>396</v>
      </c>
      <c r="D100" s="15" t="s">
        <v>397</v>
      </c>
      <c r="E100" s="14" t="s">
        <v>60</v>
      </c>
      <c r="F100" s="14" t="s">
        <v>398</v>
      </c>
      <c r="G100" s="16">
        <f>274*(1/0.94*0.96)</f>
        <v>279.83</v>
      </c>
      <c r="H100" s="17">
        <f t="shared" si="4"/>
        <v>4393.33</v>
      </c>
    </row>
    <row r="101" ht="33.75" spans="1:8">
      <c r="A101" s="14" t="s">
        <v>102</v>
      </c>
      <c r="B101" s="15" t="s">
        <v>399</v>
      </c>
      <c r="C101" s="15" t="s">
        <v>400</v>
      </c>
      <c r="D101" s="15" t="s">
        <v>401</v>
      </c>
      <c r="E101" s="14" t="s">
        <v>60</v>
      </c>
      <c r="F101" s="14" t="s">
        <v>402</v>
      </c>
      <c r="G101" s="16">
        <f>167.56*(1/0.94*0.96)</f>
        <v>171.13</v>
      </c>
      <c r="H101" s="17">
        <f t="shared" si="4"/>
        <v>16618.43</v>
      </c>
    </row>
    <row r="102" ht="56.25" spans="1:8">
      <c r="A102" s="14" t="s">
        <v>106</v>
      </c>
      <c r="B102" s="15" t="s">
        <v>403</v>
      </c>
      <c r="C102" s="15" t="s">
        <v>404</v>
      </c>
      <c r="D102" s="15" t="s">
        <v>405</v>
      </c>
      <c r="E102" s="14" t="s">
        <v>60</v>
      </c>
      <c r="F102" s="14" t="s">
        <v>406</v>
      </c>
      <c r="G102" s="16">
        <f>498.6*(1/0.94*0.96)</f>
        <v>509.21</v>
      </c>
      <c r="H102" s="17">
        <f t="shared" si="4"/>
        <v>2016.47</v>
      </c>
    </row>
    <row r="103" spans="1:8">
      <c r="A103" s="14" t="s">
        <v>111</v>
      </c>
      <c r="B103" s="15" t="s">
        <v>407</v>
      </c>
      <c r="C103" s="15" t="s">
        <v>408</v>
      </c>
      <c r="D103" s="15" t="s">
        <v>409</v>
      </c>
      <c r="E103" s="14" t="s">
        <v>66</v>
      </c>
      <c r="F103" s="14" t="s">
        <v>56</v>
      </c>
      <c r="G103" s="16">
        <f>53.77*(1/0.94*0.96)</f>
        <v>54.91</v>
      </c>
      <c r="H103" s="17">
        <f t="shared" si="4"/>
        <v>329.46</v>
      </c>
    </row>
    <row r="104" spans="1:8">
      <c r="A104" s="14" t="s">
        <v>116</v>
      </c>
      <c r="B104" s="15" t="s">
        <v>410</v>
      </c>
      <c r="C104" s="15" t="s">
        <v>411</v>
      </c>
      <c r="D104" s="15" t="s">
        <v>412</v>
      </c>
      <c r="E104" s="14" t="s">
        <v>413</v>
      </c>
      <c r="F104" s="14" t="s">
        <v>56</v>
      </c>
      <c r="G104" s="16">
        <f>89.36*(1/0.94*0.96)</f>
        <v>91.26</v>
      </c>
      <c r="H104" s="17">
        <f t="shared" si="4"/>
        <v>547.56</v>
      </c>
    </row>
    <row r="105" spans="1:8">
      <c r="A105" s="14" t="s">
        <v>121</v>
      </c>
      <c r="B105" s="15" t="s">
        <v>414</v>
      </c>
      <c r="C105" s="15" t="s">
        <v>415</v>
      </c>
      <c r="D105" s="15" t="s">
        <v>416</v>
      </c>
      <c r="E105" s="14" t="s">
        <v>60</v>
      </c>
      <c r="F105" s="14" t="s">
        <v>417</v>
      </c>
      <c r="G105" s="16">
        <f>395.65*(1/0.94*0.96)</f>
        <v>404.07</v>
      </c>
      <c r="H105" s="17">
        <f t="shared" si="4"/>
        <v>11697.83</v>
      </c>
    </row>
    <row r="106" ht="22.5" spans="1:8">
      <c r="A106" s="14" t="s">
        <v>110</v>
      </c>
      <c r="B106" s="15" t="s">
        <v>418</v>
      </c>
      <c r="C106" s="15" t="s">
        <v>356</v>
      </c>
      <c r="D106" s="15" t="s">
        <v>419</v>
      </c>
      <c r="E106" s="14" t="s">
        <v>60</v>
      </c>
      <c r="F106" s="14" t="s">
        <v>420</v>
      </c>
      <c r="G106" s="16">
        <f>401.69*(1/0.94*0.96)</f>
        <v>410.24</v>
      </c>
      <c r="H106" s="17">
        <f t="shared" si="4"/>
        <v>1263.54</v>
      </c>
    </row>
    <row r="107" ht="45" spans="1:8">
      <c r="A107" s="14" t="s">
        <v>129</v>
      </c>
      <c r="B107" s="15" t="s">
        <v>421</v>
      </c>
      <c r="C107" s="15" t="s">
        <v>386</v>
      </c>
      <c r="D107" s="15" t="s">
        <v>422</v>
      </c>
      <c r="E107" s="14" t="s">
        <v>60</v>
      </c>
      <c r="F107" s="14" t="s">
        <v>394</v>
      </c>
      <c r="G107" s="16">
        <f>215.42*(1/0.94*0.96)</f>
        <v>220</v>
      </c>
      <c r="H107" s="17">
        <f t="shared" si="4"/>
        <v>1416.8</v>
      </c>
    </row>
    <row r="108" ht="22.5" spans="1:8">
      <c r="A108" s="14" t="s">
        <v>134</v>
      </c>
      <c r="B108" s="15" t="s">
        <v>423</v>
      </c>
      <c r="C108" s="15" t="s">
        <v>424</v>
      </c>
      <c r="D108" s="15" t="s">
        <v>132</v>
      </c>
      <c r="E108" s="14" t="s">
        <v>60</v>
      </c>
      <c r="F108" s="14" t="s">
        <v>425</v>
      </c>
      <c r="G108" s="16">
        <f>4.94*(1/0.94*0.96)</f>
        <v>5.05</v>
      </c>
      <c r="H108" s="17">
        <f t="shared" si="4"/>
        <v>3893.5</v>
      </c>
    </row>
    <row r="109" spans="1:8">
      <c r="A109" s="14" t="s">
        <v>139</v>
      </c>
      <c r="B109" s="15" t="s">
        <v>426</v>
      </c>
      <c r="C109" s="15" t="s">
        <v>367</v>
      </c>
      <c r="D109" s="15" t="s">
        <v>427</v>
      </c>
      <c r="E109" s="14" t="s">
        <v>60</v>
      </c>
      <c r="F109" s="14" t="s">
        <v>425</v>
      </c>
      <c r="G109" s="16">
        <f>104.93*(1/0.94*0.96)</f>
        <v>107.16</v>
      </c>
      <c r="H109" s="17">
        <f t="shared" si="4"/>
        <v>82619.29</v>
      </c>
    </row>
    <row r="110" spans="1:8">
      <c r="A110" s="11" t="s">
        <v>428</v>
      </c>
      <c r="B110" s="11"/>
      <c r="C110" s="11"/>
      <c r="D110" s="11"/>
      <c r="E110" s="11"/>
      <c r="F110" s="11"/>
      <c r="G110" s="16"/>
      <c r="H110" s="18"/>
    </row>
    <row r="111" ht="45" spans="1:8">
      <c r="A111" s="14" t="s">
        <v>29</v>
      </c>
      <c r="B111" s="15" t="s">
        <v>429</v>
      </c>
      <c r="C111" s="15" t="s">
        <v>430</v>
      </c>
      <c r="D111" s="15" t="s">
        <v>431</v>
      </c>
      <c r="E111" s="14" t="s">
        <v>432</v>
      </c>
      <c r="F111" s="14" t="s">
        <v>433</v>
      </c>
      <c r="G111" s="16">
        <f>1632.1*(1/0.94*0.96)</f>
        <v>1666.83</v>
      </c>
      <c r="H111" s="17">
        <f>ROUND(F111*G111,2)</f>
        <v>15368.17</v>
      </c>
    </row>
    <row r="112" ht="45" spans="1:8">
      <c r="A112" s="14" t="s">
        <v>35</v>
      </c>
      <c r="B112" s="15" t="s">
        <v>434</v>
      </c>
      <c r="C112" s="15" t="s">
        <v>435</v>
      </c>
      <c r="D112" s="15" t="s">
        <v>436</v>
      </c>
      <c r="E112" s="14" t="s">
        <v>432</v>
      </c>
      <c r="F112" s="14" t="s">
        <v>437</v>
      </c>
      <c r="G112" s="16">
        <f>1632.1*(1/0.94*0.96)</f>
        <v>1666.83</v>
      </c>
      <c r="H112" s="17">
        <f t="shared" ref="H112:H124" si="5">ROUND(F112*G112,2)</f>
        <v>13167.96</v>
      </c>
    </row>
    <row r="113" ht="67.5" spans="1:8">
      <c r="A113" s="14" t="s">
        <v>40</v>
      </c>
      <c r="B113" s="15" t="s">
        <v>438</v>
      </c>
      <c r="C113" s="15" t="s">
        <v>439</v>
      </c>
      <c r="D113" s="15" t="s">
        <v>440</v>
      </c>
      <c r="E113" s="14" t="s">
        <v>413</v>
      </c>
      <c r="F113" s="14" t="s">
        <v>29</v>
      </c>
      <c r="G113" s="16">
        <f>6521.24*(1/0.94*0.96)</f>
        <v>6659.99</v>
      </c>
      <c r="H113" s="17">
        <f t="shared" si="5"/>
        <v>6659.99</v>
      </c>
    </row>
    <row r="114" ht="33.75" spans="1:8">
      <c r="A114" s="14" t="s">
        <v>45</v>
      </c>
      <c r="B114" s="15" t="s">
        <v>441</v>
      </c>
      <c r="C114" s="15" t="s">
        <v>442</v>
      </c>
      <c r="D114" s="15" t="s">
        <v>443</v>
      </c>
      <c r="E114" s="14" t="s">
        <v>76</v>
      </c>
      <c r="F114" s="14" t="s">
        <v>45</v>
      </c>
      <c r="G114" s="16">
        <f>3652.93*(1/0.94*0.96)</f>
        <v>3730.65</v>
      </c>
      <c r="H114" s="17">
        <f t="shared" si="5"/>
        <v>14922.6</v>
      </c>
    </row>
    <row r="115" ht="22.5" spans="1:8">
      <c r="A115" s="14" t="s">
        <v>51</v>
      </c>
      <c r="B115" s="15" t="s">
        <v>444</v>
      </c>
      <c r="C115" s="15" t="s">
        <v>445</v>
      </c>
      <c r="D115" s="15" t="s">
        <v>446</v>
      </c>
      <c r="E115" s="14" t="s">
        <v>447</v>
      </c>
      <c r="F115" s="14" t="s">
        <v>29</v>
      </c>
      <c r="G115" s="16">
        <f>20848.05*(1/0.94*0.96)</f>
        <v>21291.63</v>
      </c>
      <c r="H115" s="17">
        <f t="shared" si="5"/>
        <v>21291.63</v>
      </c>
    </row>
    <row r="116" ht="90" spans="1:8">
      <c r="A116" s="14" t="s">
        <v>56</v>
      </c>
      <c r="B116" s="15" t="s">
        <v>448</v>
      </c>
      <c r="C116" s="15" t="s">
        <v>449</v>
      </c>
      <c r="D116" s="15" t="s">
        <v>450</v>
      </c>
      <c r="E116" s="14" t="s">
        <v>60</v>
      </c>
      <c r="F116" s="14" t="s">
        <v>451</v>
      </c>
      <c r="G116" s="16">
        <f>526.46*(1/0.94*0.96)</f>
        <v>537.66</v>
      </c>
      <c r="H116" s="17">
        <f t="shared" si="5"/>
        <v>24092.54</v>
      </c>
    </row>
    <row r="117" ht="45" spans="1:8">
      <c r="A117" s="14" t="s">
        <v>62</v>
      </c>
      <c r="B117" s="15" t="s">
        <v>452</v>
      </c>
      <c r="C117" s="15" t="s">
        <v>449</v>
      </c>
      <c r="D117" s="15" t="s">
        <v>453</v>
      </c>
      <c r="E117" s="14" t="s">
        <v>60</v>
      </c>
      <c r="F117" s="14" t="s">
        <v>454</v>
      </c>
      <c r="G117" s="16">
        <f>592.35*(1/0.94*0.96)</f>
        <v>604.95</v>
      </c>
      <c r="H117" s="17">
        <f t="shared" si="5"/>
        <v>16962.8</v>
      </c>
    </row>
    <row r="118" spans="1:8">
      <c r="A118" s="14" t="s">
        <v>67</v>
      </c>
      <c r="B118" s="15" t="s">
        <v>455</v>
      </c>
      <c r="C118" s="15" t="s">
        <v>456</v>
      </c>
      <c r="D118" s="15" t="s">
        <v>457</v>
      </c>
      <c r="E118" s="14" t="s">
        <v>60</v>
      </c>
      <c r="F118" s="14" t="s">
        <v>458</v>
      </c>
      <c r="G118" s="16">
        <f>268.06*(1/0.94*0.96)</f>
        <v>273.76</v>
      </c>
      <c r="H118" s="17">
        <f t="shared" si="5"/>
        <v>6315.64</v>
      </c>
    </row>
    <row r="119" ht="22.5" spans="1:8">
      <c r="A119" s="14" t="s">
        <v>72</v>
      </c>
      <c r="B119" s="15" t="s">
        <v>459</v>
      </c>
      <c r="C119" s="15" t="s">
        <v>363</v>
      </c>
      <c r="D119" s="15" t="s">
        <v>364</v>
      </c>
      <c r="E119" s="14" t="s">
        <v>60</v>
      </c>
      <c r="F119" s="14" t="s">
        <v>460</v>
      </c>
      <c r="G119" s="16">
        <f>783.18*(1/0.94*0.96)</f>
        <v>799.84</v>
      </c>
      <c r="H119" s="17">
        <f t="shared" si="5"/>
        <v>6382.72</v>
      </c>
    </row>
    <row r="120" ht="22.5" spans="1:8">
      <c r="A120" s="14" t="s">
        <v>77</v>
      </c>
      <c r="B120" s="15" t="s">
        <v>461</v>
      </c>
      <c r="C120" s="15" t="s">
        <v>462</v>
      </c>
      <c r="D120" s="15" t="s">
        <v>463</v>
      </c>
      <c r="E120" s="14" t="s">
        <v>33</v>
      </c>
      <c r="F120" s="14" t="s">
        <v>56</v>
      </c>
      <c r="G120" s="16">
        <f>2382.64*(1/0.94*0.96)</f>
        <v>2433.33</v>
      </c>
      <c r="H120" s="17">
        <f t="shared" si="5"/>
        <v>14599.98</v>
      </c>
    </row>
    <row r="121" ht="22.5" spans="1:8">
      <c r="A121" s="14" t="s">
        <v>82</v>
      </c>
      <c r="B121" s="15" t="s">
        <v>464</v>
      </c>
      <c r="C121" s="15" t="s">
        <v>465</v>
      </c>
      <c r="D121" s="15" t="s">
        <v>466</v>
      </c>
      <c r="E121" s="14" t="s">
        <v>447</v>
      </c>
      <c r="F121" s="14" t="s">
        <v>35</v>
      </c>
      <c r="G121" s="16">
        <f>2978.3*(1/0.94*0.96)</f>
        <v>3041.67</v>
      </c>
      <c r="H121" s="17">
        <f t="shared" si="5"/>
        <v>6083.34</v>
      </c>
    </row>
    <row r="122" spans="1:8">
      <c r="A122" s="14" t="s">
        <v>87</v>
      </c>
      <c r="B122" s="15" t="s">
        <v>467</v>
      </c>
      <c r="C122" s="15" t="s">
        <v>468</v>
      </c>
      <c r="D122" s="15" t="s">
        <v>469</v>
      </c>
      <c r="E122" s="14" t="s">
        <v>33</v>
      </c>
      <c r="F122" s="14" t="s">
        <v>470</v>
      </c>
      <c r="G122" s="16">
        <f>274.01*(1/0.94*0.96)</f>
        <v>279.84</v>
      </c>
      <c r="H122" s="17">
        <f t="shared" si="5"/>
        <v>5982.98</v>
      </c>
    </row>
    <row r="123" ht="22.5" spans="1:8">
      <c r="A123" s="14" t="s">
        <v>92</v>
      </c>
      <c r="B123" s="15" t="s">
        <v>471</v>
      </c>
      <c r="C123" s="15" t="s">
        <v>472</v>
      </c>
      <c r="D123" s="15" t="s">
        <v>132</v>
      </c>
      <c r="E123" s="14" t="s">
        <v>447</v>
      </c>
      <c r="F123" s="14" t="s">
        <v>29</v>
      </c>
      <c r="G123" s="16">
        <f>2350*(1/0.94*0.96)</f>
        <v>2400</v>
      </c>
      <c r="H123" s="17">
        <f t="shared" si="5"/>
        <v>2400</v>
      </c>
    </row>
    <row r="124" ht="33.75" spans="1:8">
      <c r="A124" s="14" t="s">
        <v>97</v>
      </c>
      <c r="B124" s="15" t="s">
        <v>473</v>
      </c>
      <c r="C124" s="15" t="s">
        <v>474</v>
      </c>
      <c r="D124" s="15" t="s">
        <v>132</v>
      </c>
      <c r="E124" s="14" t="s">
        <v>447</v>
      </c>
      <c r="F124" s="14" t="s">
        <v>29</v>
      </c>
      <c r="G124" s="16">
        <f>2820*(1/0.94*0.96)</f>
        <v>2880</v>
      </c>
      <c r="H124" s="17">
        <f t="shared" si="5"/>
        <v>2880</v>
      </c>
    </row>
    <row r="125" spans="1:8">
      <c r="A125" s="11" t="s">
        <v>475</v>
      </c>
      <c r="B125" s="11"/>
      <c r="C125" s="11"/>
      <c r="D125" s="11"/>
      <c r="E125" s="11"/>
      <c r="F125" s="11"/>
      <c r="G125" s="16"/>
      <c r="H125" s="18"/>
    </row>
    <row r="126" ht="90" spans="1:8">
      <c r="A126" s="14" t="s">
        <v>29</v>
      </c>
      <c r="B126" s="15" t="s">
        <v>476</v>
      </c>
      <c r="C126" s="15" t="s">
        <v>477</v>
      </c>
      <c r="D126" s="15" t="s">
        <v>478</v>
      </c>
      <c r="E126" s="14" t="s">
        <v>120</v>
      </c>
      <c r="F126" s="14" t="s">
        <v>40</v>
      </c>
      <c r="G126" s="16">
        <f>5209.88*(1/0.94*0.96)</f>
        <v>5320.73</v>
      </c>
      <c r="H126" s="17">
        <f>ROUND(F126*G126,2)</f>
        <v>15962.19</v>
      </c>
    </row>
    <row r="127" ht="67.5" spans="1:8">
      <c r="A127" s="14" t="s">
        <v>35</v>
      </c>
      <c r="B127" s="15" t="s">
        <v>479</v>
      </c>
      <c r="C127" s="15" t="s">
        <v>480</v>
      </c>
      <c r="D127" s="15" t="s">
        <v>481</v>
      </c>
      <c r="E127" s="14" t="s">
        <v>120</v>
      </c>
      <c r="F127" s="14" t="s">
        <v>40</v>
      </c>
      <c r="G127" s="16">
        <f>627.4*(1/0.94*0.96)</f>
        <v>640.75</v>
      </c>
      <c r="H127" s="17">
        <f t="shared" ref="H127:H133" si="6">ROUND(F127*G127,2)</f>
        <v>1922.25</v>
      </c>
    </row>
    <row r="128" ht="67.5" spans="1:8">
      <c r="A128" s="14" t="s">
        <v>40</v>
      </c>
      <c r="B128" s="15" t="s">
        <v>482</v>
      </c>
      <c r="C128" s="15" t="s">
        <v>483</v>
      </c>
      <c r="D128" s="15" t="s">
        <v>484</v>
      </c>
      <c r="E128" s="14" t="s">
        <v>60</v>
      </c>
      <c r="F128" s="14" t="s">
        <v>87</v>
      </c>
      <c r="G128" s="16">
        <f>125.59*(1/0.94*0.96)</f>
        <v>128.26</v>
      </c>
      <c r="H128" s="17">
        <f t="shared" si="6"/>
        <v>1539.12</v>
      </c>
    </row>
    <row r="129" ht="67.5" spans="1:8">
      <c r="A129" s="14" t="s">
        <v>45</v>
      </c>
      <c r="B129" s="15" t="s">
        <v>485</v>
      </c>
      <c r="C129" s="15" t="s">
        <v>483</v>
      </c>
      <c r="D129" s="15" t="s">
        <v>486</v>
      </c>
      <c r="E129" s="14" t="s">
        <v>60</v>
      </c>
      <c r="F129" s="14" t="s">
        <v>102</v>
      </c>
      <c r="G129" s="16">
        <f>125.59*(1/0.94*0.96)</f>
        <v>128.26</v>
      </c>
      <c r="H129" s="17">
        <f t="shared" si="6"/>
        <v>1923.9</v>
      </c>
    </row>
    <row r="130" ht="45" spans="1:8">
      <c r="A130" s="14" t="s">
        <v>51</v>
      </c>
      <c r="B130" s="15" t="s">
        <v>487</v>
      </c>
      <c r="C130" s="15" t="s">
        <v>488</v>
      </c>
      <c r="D130" s="15" t="s">
        <v>489</v>
      </c>
      <c r="E130" s="14" t="s">
        <v>60</v>
      </c>
      <c r="F130" s="14" t="s">
        <v>490</v>
      </c>
      <c r="G130" s="16">
        <f>19.02*(1/0.94*0.96)</f>
        <v>19.42</v>
      </c>
      <c r="H130" s="17">
        <f t="shared" si="6"/>
        <v>3359.66</v>
      </c>
    </row>
    <row r="131" spans="1:8">
      <c r="A131" s="14" t="s">
        <v>56</v>
      </c>
      <c r="B131" s="15" t="s">
        <v>491</v>
      </c>
      <c r="C131" s="15" t="s">
        <v>492</v>
      </c>
      <c r="D131" s="15" t="s">
        <v>493</v>
      </c>
      <c r="E131" s="14" t="s">
        <v>60</v>
      </c>
      <c r="F131" s="14" t="s">
        <v>494</v>
      </c>
      <c r="G131" s="16">
        <f>4.19*(1/0.94*0.96)</f>
        <v>4.28</v>
      </c>
      <c r="H131" s="17">
        <f t="shared" si="6"/>
        <v>856</v>
      </c>
    </row>
    <row r="132" ht="22.5" spans="1:8">
      <c r="A132" s="14" t="s">
        <v>62</v>
      </c>
      <c r="B132" s="15" t="s">
        <v>495</v>
      </c>
      <c r="C132" s="15" t="s">
        <v>496</v>
      </c>
      <c r="D132" s="15" t="s">
        <v>497</v>
      </c>
      <c r="E132" s="14" t="s">
        <v>49</v>
      </c>
      <c r="F132" s="14" t="s">
        <v>498</v>
      </c>
      <c r="G132" s="16">
        <f>35.83*(1/0.94*0.96)</f>
        <v>36.59</v>
      </c>
      <c r="H132" s="17">
        <f t="shared" si="6"/>
        <v>2195.4</v>
      </c>
    </row>
    <row r="133" spans="1:8">
      <c r="A133" s="14"/>
      <c r="B133" s="15"/>
      <c r="C133" s="15"/>
      <c r="D133" s="15"/>
      <c r="E133" s="14"/>
      <c r="F133" s="19" t="s">
        <v>499</v>
      </c>
      <c r="G133" s="16"/>
      <c r="H133" s="19">
        <f>SUM(H6:H132)</f>
        <v>568973.62</v>
      </c>
    </row>
    <row r="134" ht="23" customHeight="1" spans="1:8">
      <c r="A134" s="11" t="s">
        <v>500</v>
      </c>
      <c r="B134" s="11"/>
      <c r="C134" s="11"/>
      <c r="D134" s="11"/>
      <c r="E134" s="11"/>
      <c r="F134" s="11"/>
      <c r="G134" s="16"/>
      <c r="H134" s="18"/>
    </row>
    <row r="135" spans="1:8">
      <c r="A135" s="11" t="s">
        <v>501</v>
      </c>
      <c r="B135" s="11"/>
      <c r="C135" s="11"/>
      <c r="D135" s="11"/>
      <c r="E135" s="11"/>
      <c r="F135" s="11"/>
      <c r="G135" s="16"/>
      <c r="H135" s="18"/>
    </row>
    <row r="136" ht="22.5" spans="1:8">
      <c r="A136" s="14" t="s">
        <v>29</v>
      </c>
      <c r="B136" s="15" t="s">
        <v>502</v>
      </c>
      <c r="C136" s="15" t="s">
        <v>503</v>
      </c>
      <c r="D136" s="15" t="s">
        <v>504</v>
      </c>
      <c r="E136" s="14" t="s">
        <v>505</v>
      </c>
      <c r="F136" s="14" t="s">
        <v>29</v>
      </c>
      <c r="G136" s="16">
        <f>1973.46*(1/0.94*0.96)</f>
        <v>2015.45</v>
      </c>
      <c r="H136" s="17">
        <f>ROUND(F136*G136,2)</f>
        <v>2015.45</v>
      </c>
    </row>
    <row r="137" ht="45" spans="1:8">
      <c r="A137" s="14" t="s">
        <v>35</v>
      </c>
      <c r="B137" s="15" t="s">
        <v>506</v>
      </c>
      <c r="C137" s="15" t="s">
        <v>507</v>
      </c>
      <c r="D137" s="15" t="s">
        <v>508</v>
      </c>
      <c r="E137" s="14" t="s">
        <v>33</v>
      </c>
      <c r="F137" s="14" t="s">
        <v>509</v>
      </c>
      <c r="G137" s="16">
        <f>18.14*(1/0.94*0.96)</f>
        <v>18.53</v>
      </c>
      <c r="H137" s="17">
        <f t="shared" ref="H137:H166" si="7">ROUND(F137*G137,2)</f>
        <v>6182.53</v>
      </c>
    </row>
    <row r="138" ht="56.25" spans="1:8">
      <c r="A138" s="14" t="s">
        <v>40</v>
      </c>
      <c r="B138" s="15" t="s">
        <v>510</v>
      </c>
      <c r="C138" s="15" t="s">
        <v>507</v>
      </c>
      <c r="D138" s="15" t="s">
        <v>511</v>
      </c>
      <c r="E138" s="14" t="s">
        <v>33</v>
      </c>
      <c r="F138" s="14" t="s">
        <v>512</v>
      </c>
      <c r="G138" s="16">
        <f>12.77*(1/0.94*0.96)</f>
        <v>13.04</v>
      </c>
      <c r="H138" s="17">
        <f t="shared" si="7"/>
        <v>2199.59</v>
      </c>
    </row>
    <row r="139" ht="22.5" spans="1:8">
      <c r="A139" s="14" t="s">
        <v>45</v>
      </c>
      <c r="B139" s="15" t="s">
        <v>513</v>
      </c>
      <c r="C139" s="15" t="s">
        <v>507</v>
      </c>
      <c r="D139" s="15" t="s">
        <v>514</v>
      </c>
      <c r="E139" s="14" t="s">
        <v>33</v>
      </c>
      <c r="F139" s="14" t="s">
        <v>196</v>
      </c>
      <c r="G139" s="16">
        <f>45.86*(1/0.94*0.96)</f>
        <v>46.84</v>
      </c>
      <c r="H139" s="17">
        <f t="shared" si="7"/>
        <v>1733.08</v>
      </c>
    </row>
    <row r="140" ht="33.75" spans="1:8">
      <c r="A140" s="14" t="s">
        <v>51</v>
      </c>
      <c r="B140" s="15" t="s">
        <v>515</v>
      </c>
      <c r="C140" s="15" t="s">
        <v>516</v>
      </c>
      <c r="D140" s="15" t="s">
        <v>517</v>
      </c>
      <c r="E140" s="14" t="s">
        <v>518</v>
      </c>
      <c r="F140" s="14" t="s">
        <v>519</v>
      </c>
      <c r="G140" s="16">
        <f>16.55*(1/0.94*0.96)</f>
        <v>16.9</v>
      </c>
      <c r="H140" s="17">
        <f t="shared" si="7"/>
        <v>699.15</v>
      </c>
    </row>
    <row r="141" ht="22.5" spans="1:8">
      <c r="A141" s="14" t="s">
        <v>56</v>
      </c>
      <c r="B141" s="15" t="s">
        <v>520</v>
      </c>
      <c r="C141" s="15" t="s">
        <v>521</v>
      </c>
      <c r="D141" s="15" t="s">
        <v>522</v>
      </c>
      <c r="E141" s="14" t="s">
        <v>33</v>
      </c>
      <c r="F141" s="14" t="s">
        <v>523</v>
      </c>
      <c r="G141" s="16">
        <f>24*(1/0.94*0.96)</f>
        <v>24.51</v>
      </c>
      <c r="H141" s="17">
        <f t="shared" si="7"/>
        <v>1115.21</v>
      </c>
    </row>
    <row r="142" ht="33.75" spans="1:8">
      <c r="A142" s="14" t="s">
        <v>62</v>
      </c>
      <c r="B142" s="15" t="s">
        <v>524</v>
      </c>
      <c r="C142" s="15" t="s">
        <v>525</v>
      </c>
      <c r="D142" s="15" t="s">
        <v>526</v>
      </c>
      <c r="E142" s="14" t="s">
        <v>33</v>
      </c>
      <c r="F142" s="14" t="s">
        <v>527</v>
      </c>
      <c r="G142" s="16">
        <f>5.48*(1/0.94*0.96)</f>
        <v>5.6</v>
      </c>
      <c r="H142" s="17">
        <f t="shared" si="7"/>
        <v>4863.38</v>
      </c>
    </row>
    <row r="143" ht="33.75" spans="1:8">
      <c r="A143" s="14" t="s">
        <v>67</v>
      </c>
      <c r="B143" s="15" t="s">
        <v>528</v>
      </c>
      <c r="C143" s="15" t="s">
        <v>525</v>
      </c>
      <c r="D143" s="15" t="s">
        <v>529</v>
      </c>
      <c r="E143" s="14" t="s">
        <v>33</v>
      </c>
      <c r="F143" s="14" t="s">
        <v>530</v>
      </c>
      <c r="G143" s="16">
        <f>7.1*(1/0.94*0.96)</f>
        <v>7.25</v>
      </c>
      <c r="H143" s="17">
        <f t="shared" si="7"/>
        <v>3791.75</v>
      </c>
    </row>
    <row r="144" ht="22.5" spans="1:8">
      <c r="A144" s="14" t="s">
        <v>72</v>
      </c>
      <c r="B144" s="15" t="s">
        <v>531</v>
      </c>
      <c r="C144" s="15" t="s">
        <v>525</v>
      </c>
      <c r="D144" s="15" t="s">
        <v>532</v>
      </c>
      <c r="E144" s="14" t="s">
        <v>33</v>
      </c>
      <c r="F144" s="14" t="s">
        <v>533</v>
      </c>
      <c r="G144" s="16">
        <f>7.03*(1/0.94*0.96)</f>
        <v>7.18</v>
      </c>
      <c r="H144" s="17">
        <f t="shared" si="7"/>
        <v>451.48</v>
      </c>
    </row>
    <row r="145" ht="33.75" spans="1:8">
      <c r="A145" s="14" t="s">
        <v>77</v>
      </c>
      <c r="B145" s="15" t="s">
        <v>534</v>
      </c>
      <c r="C145" s="15" t="s">
        <v>535</v>
      </c>
      <c r="D145" s="15" t="s">
        <v>536</v>
      </c>
      <c r="E145" s="14" t="s">
        <v>33</v>
      </c>
      <c r="F145" s="14" t="s">
        <v>77</v>
      </c>
      <c r="G145" s="16">
        <f>54.24*(1/0.94*0.96)</f>
        <v>55.39</v>
      </c>
      <c r="H145" s="17">
        <f t="shared" si="7"/>
        <v>553.9</v>
      </c>
    </row>
    <row r="146" ht="33.75" spans="1:8">
      <c r="A146" s="14" t="s">
        <v>82</v>
      </c>
      <c r="B146" s="15" t="s">
        <v>537</v>
      </c>
      <c r="C146" s="15" t="s">
        <v>538</v>
      </c>
      <c r="D146" s="15" t="s">
        <v>539</v>
      </c>
      <c r="E146" s="14" t="s">
        <v>66</v>
      </c>
      <c r="F146" s="14" t="s">
        <v>35</v>
      </c>
      <c r="G146" s="16">
        <f>87.5*(1/0.94*0.96)</f>
        <v>89.36</v>
      </c>
      <c r="H146" s="17">
        <f t="shared" si="7"/>
        <v>178.72</v>
      </c>
    </row>
    <row r="147" ht="22.5" spans="1:8">
      <c r="A147" s="14" t="s">
        <v>87</v>
      </c>
      <c r="B147" s="15" t="s">
        <v>540</v>
      </c>
      <c r="C147" s="15" t="s">
        <v>541</v>
      </c>
      <c r="D147" s="15" t="s">
        <v>542</v>
      </c>
      <c r="E147" s="14" t="s">
        <v>413</v>
      </c>
      <c r="F147" s="14" t="s">
        <v>226</v>
      </c>
      <c r="G147" s="16">
        <f>91.1*(1/0.94*0.96)</f>
        <v>93.04</v>
      </c>
      <c r="H147" s="17">
        <f t="shared" si="7"/>
        <v>4186.8</v>
      </c>
    </row>
    <row r="148" ht="22.5" spans="1:8">
      <c r="A148" s="14" t="s">
        <v>92</v>
      </c>
      <c r="B148" s="15" t="s">
        <v>543</v>
      </c>
      <c r="C148" s="15" t="s">
        <v>541</v>
      </c>
      <c r="D148" s="15" t="s">
        <v>544</v>
      </c>
      <c r="E148" s="14" t="s">
        <v>413</v>
      </c>
      <c r="F148" s="14" t="s">
        <v>129</v>
      </c>
      <c r="G148" s="16">
        <f>96.84*(1/0.94*0.96)</f>
        <v>98.9</v>
      </c>
      <c r="H148" s="17">
        <f t="shared" si="7"/>
        <v>2076.9</v>
      </c>
    </row>
    <row r="149" ht="22.5" spans="1:8">
      <c r="A149" s="14" t="s">
        <v>97</v>
      </c>
      <c r="B149" s="15" t="s">
        <v>545</v>
      </c>
      <c r="C149" s="15" t="s">
        <v>541</v>
      </c>
      <c r="D149" s="15" t="s">
        <v>546</v>
      </c>
      <c r="E149" s="14" t="s">
        <v>413</v>
      </c>
      <c r="F149" s="14" t="s">
        <v>547</v>
      </c>
      <c r="G149" s="16">
        <f>65.75*(1/0.94*0.96)</f>
        <v>67.15</v>
      </c>
      <c r="H149" s="17">
        <f t="shared" si="7"/>
        <v>3357.5</v>
      </c>
    </row>
    <row r="150" ht="22.5" spans="1:8">
      <c r="A150" s="14" t="s">
        <v>102</v>
      </c>
      <c r="B150" s="15" t="s">
        <v>548</v>
      </c>
      <c r="C150" s="15" t="s">
        <v>549</v>
      </c>
      <c r="D150" s="15" t="s">
        <v>550</v>
      </c>
      <c r="E150" s="14" t="s">
        <v>413</v>
      </c>
      <c r="F150" s="14" t="s">
        <v>67</v>
      </c>
      <c r="G150" s="16">
        <f>31.92*(1/0.94*0.96)</f>
        <v>32.6</v>
      </c>
      <c r="H150" s="17">
        <f t="shared" si="7"/>
        <v>260.8</v>
      </c>
    </row>
    <row r="151" ht="22.5" spans="1:8">
      <c r="A151" s="14" t="s">
        <v>106</v>
      </c>
      <c r="B151" s="15" t="s">
        <v>551</v>
      </c>
      <c r="C151" s="15" t="s">
        <v>552</v>
      </c>
      <c r="D151" s="15" t="s">
        <v>553</v>
      </c>
      <c r="E151" s="14" t="s">
        <v>66</v>
      </c>
      <c r="F151" s="14" t="s">
        <v>29</v>
      </c>
      <c r="G151" s="16">
        <f>31.53*(1/0.94*0.96)</f>
        <v>32.2</v>
      </c>
      <c r="H151" s="17">
        <f t="shared" si="7"/>
        <v>32.2</v>
      </c>
    </row>
    <row r="152" ht="22.5" spans="1:8">
      <c r="A152" s="14" t="s">
        <v>111</v>
      </c>
      <c r="B152" s="15" t="s">
        <v>554</v>
      </c>
      <c r="C152" s="15" t="s">
        <v>552</v>
      </c>
      <c r="D152" s="15" t="s">
        <v>555</v>
      </c>
      <c r="E152" s="14" t="s">
        <v>66</v>
      </c>
      <c r="F152" s="14" t="s">
        <v>40</v>
      </c>
      <c r="G152" s="16">
        <f>21.04*(1/0.94*0.96)</f>
        <v>21.49</v>
      </c>
      <c r="H152" s="17">
        <f t="shared" si="7"/>
        <v>64.47</v>
      </c>
    </row>
    <row r="153" ht="22.5" spans="1:8">
      <c r="A153" s="14" t="s">
        <v>116</v>
      </c>
      <c r="B153" s="15" t="s">
        <v>556</v>
      </c>
      <c r="C153" s="15" t="s">
        <v>552</v>
      </c>
      <c r="D153" s="15" t="s">
        <v>557</v>
      </c>
      <c r="E153" s="14" t="s">
        <v>66</v>
      </c>
      <c r="F153" s="14" t="s">
        <v>51</v>
      </c>
      <c r="G153" s="16">
        <f>18.6*(1/0.94*0.96)</f>
        <v>19</v>
      </c>
      <c r="H153" s="17">
        <f t="shared" si="7"/>
        <v>95</v>
      </c>
    </row>
    <row r="154" ht="22.5" spans="1:8">
      <c r="A154" s="14" t="s">
        <v>121</v>
      </c>
      <c r="B154" s="15" t="s">
        <v>558</v>
      </c>
      <c r="C154" s="15" t="s">
        <v>552</v>
      </c>
      <c r="D154" s="15" t="s">
        <v>559</v>
      </c>
      <c r="E154" s="14" t="s">
        <v>66</v>
      </c>
      <c r="F154" s="14" t="s">
        <v>40</v>
      </c>
      <c r="G154" s="16">
        <f>16.18*(1/0.94*0.96)</f>
        <v>16.52</v>
      </c>
      <c r="H154" s="17">
        <f t="shared" si="7"/>
        <v>49.56</v>
      </c>
    </row>
    <row r="155" spans="1:8">
      <c r="A155" s="14" t="s">
        <v>110</v>
      </c>
      <c r="B155" s="15" t="s">
        <v>560</v>
      </c>
      <c r="C155" s="15" t="s">
        <v>561</v>
      </c>
      <c r="D155" s="15" t="s">
        <v>562</v>
      </c>
      <c r="E155" s="14" t="s">
        <v>66</v>
      </c>
      <c r="F155" s="14" t="s">
        <v>106</v>
      </c>
      <c r="G155" s="16">
        <f>21.37*(1/0.94*0.96)</f>
        <v>21.82</v>
      </c>
      <c r="H155" s="17">
        <f t="shared" si="7"/>
        <v>349.12</v>
      </c>
    </row>
    <row r="156" ht="22.5" spans="1:8">
      <c r="A156" s="14" t="s">
        <v>129</v>
      </c>
      <c r="B156" s="15" t="s">
        <v>563</v>
      </c>
      <c r="C156" s="15" t="s">
        <v>561</v>
      </c>
      <c r="D156" s="15" t="s">
        <v>564</v>
      </c>
      <c r="E156" s="14" t="s">
        <v>66</v>
      </c>
      <c r="F156" s="14" t="s">
        <v>35</v>
      </c>
      <c r="G156" s="16">
        <f>33.51*(1/0.94*0.96)</f>
        <v>34.22</v>
      </c>
      <c r="H156" s="17">
        <f t="shared" si="7"/>
        <v>68.44</v>
      </c>
    </row>
    <row r="157" spans="1:8">
      <c r="A157" s="14" t="s">
        <v>134</v>
      </c>
      <c r="B157" s="15" t="s">
        <v>565</v>
      </c>
      <c r="C157" s="15" t="s">
        <v>566</v>
      </c>
      <c r="D157" s="15" t="s">
        <v>567</v>
      </c>
      <c r="E157" s="14" t="s">
        <v>66</v>
      </c>
      <c r="F157" s="14" t="s">
        <v>35</v>
      </c>
      <c r="G157" s="16">
        <f>21.39*(1/0.94*0.96)</f>
        <v>21.85</v>
      </c>
      <c r="H157" s="17">
        <f t="shared" si="7"/>
        <v>43.7</v>
      </c>
    </row>
    <row r="158" ht="22.5" spans="1:8">
      <c r="A158" s="14" t="s">
        <v>139</v>
      </c>
      <c r="B158" s="15" t="s">
        <v>568</v>
      </c>
      <c r="C158" s="15" t="s">
        <v>566</v>
      </c>
      <c r="D158" s="15" t="s">
        <v>569</v>
      </c>
      <c r="E158" s="14" t="s">
        <v>66</v>
      </c>
      <c r="F158" s="14" t="s">
        <v>40</v>
      </c>
      <c r="G158" s="16">
        <f>20.01*(1/0.94*0.96)</f>
        <v>20.44</v>
      </c>
      <c r="H158" s="17">
        <f t="shared" si="7"/>
        <v>61.32</v>
      </c>
    </row>
    <row r="159" ht="33.75" spans="1:8">
      <c r="A159" s="14" t="s">
        <v>143</v>
      </c>
      <c r="B159" s="15" t="s">
        <v>570</v>
      </c>
      <c r="C159" s="15" t="s">
        <v>571</v>
      </c>
      <c r="D159" s="15" t="s">
        <v>572</v>
      </c>
      <c r="E159" s="14" t="s">
        <v>66</v>
      </c>
      <c r="F159" s="14" t="s">
        <v>573</v>
      </c>
      <c r="G159" s="16">
        <f>10.54*(1/0.94*0.96)</f>
        <v>10.76</v>
      </c>
      <c r="H159" s="17">
        <f t="shared" si="7"/>
        <v>796.24</v>
      </c>
    </row>
    <row r="160" ht="33.75" spans="1:8">
      <c r="A160" s="14" t="s">
        <v>148</v>
      </c>
      <c r="B160" s="15" t="s">
        <v>574</v>
      </c>
      <c r="C160" s="15" t="s">
        <v>571</v>
      </c>
      <c r="D160" s="15" t="s">
        <v>575</v>
      </c>
      <c r="E160" s="14" t="s">
        <v>66</v>
      </c>
      <c r="F160" s="14" t="s">
        <v>40</v>
      </c>
      <c r="G160" s="16">
        <f>10.54*(1/0.94*0.96)</f>
        <v>10.76</v>
      </c>
      <c r="H160" s="17">
        <f t="shared" si="7"/>
        <v>32.28</v>
      </c>
    </row>
    <row r="161" ht="33.75" spans="1:8">
      <c r="A161" s="14" t="s">
        <v>152</v>
      </c>
      <c r="B161" s="15" t="s">
        <v>576</v>
      </c>
      <c r="C161" s="15" t="s">
        <v>571</v>
      </c>
      <c r="D161" s="15" t="s">
        <v>577</v>
      </c>
      <c r="E161" s="14" t="s">
        <v>66</v>
      </c>
      <c r="F161" s="14" t="s">
        <v>168</v>
      </c>
      <c r="G161" s="16">
        <f>7.33*(1/0.94*0.96)</f>
        <v>7.49</v>
      </c>
      <c r="H161" s="17">
        <f t="shared" si="7"/>
        <v>224.7</v>
      </c>
    </row>
    <row r="162" spans="1:8">
      <c r="A162" s="14" t="s">
        <v>156</v>
      </c>
      <c r="B162" s="15" t="s">
        <v>578</v>
      </c>
      <c r="C162" s="15" t="s">
        <v>552</v>
      </c>
      <c r="D162" s="15" t="s">
        <v>579</v>
      </c>
      <c r="E162" s="14" t="s">
        <v>66</v>
      </c>
      <c r="F162" s="14" t="s">
        <v>573</v>
      </c>
      <c r="G162" s="16">
        <f>3.81*(1/0.94*0.96)</f>
        <v>3.89</v>
      </c>
      <c r="H162" s="17">
        <f t="shared" si="7"/>
        <v>287.86</v>
      </c>
    </row>
    <row r="163" ht="22.5" spans="1:8">
      <c r="A163" s="14" t="s">
        <v>160</v>
      </c>
      <c r="B163" s="15" t="s">
        <v>580</v>
      </c>
      <c r="C163" s="15" t="s">
        <v>581</v>
      </c>
      <c r="D163" s="15" t="s">
        <v>582</v>
      </c>
      <c r="E163" s="14" t="s">
        <v>66</v>
      </c>
      <c r="F163" s="14" t="s">
        <v>573</v>
      </c>
      <c r="G163" s="16">
        <f>8.29*(1/0.94*0.96)</f>
        <v>8.47</v>
      </c>
      <c r="H163" s="17">
        <f t="shared" si="7"/>
        <v>626.78</v>
      </c>
    </row>
    <row r="164" spans="1:8">
      <c r="A164" s="14" t="s">
        <v>44</v>
      </c>
      <c r="B164" s="15" t="s">
        <v>583</v>
      </c>
      <c r="C164" s="15" t="s">
        <v>584</v>
      </c>
      <c r="D164" s="15" t="s">
        <v>585</v>
      </c>
      <c r="E164" s="14" t="s">
        <v>505</v>
      </c>
      <c r="F164" s="14" t="s">
        <v>29</v>
      </c>
      <c r="G164" s="16">
        <f>3300.75*(1/0.94*0.96)</f>
        <v>3370.98</v>
      </c>
      <c r="H164" s="17">
        <f t="shared" si="7"/>
        <v>3370.98</v>
      </c>
    </row>
    <row r="165" ht="22.5" spans="1:8">
      <c r="A165" s="14" t="s">
        <v>168</v>
      </c>
      <c r="B165" s="15" t="s">
        <v>586</v>
      </c>
      <c r="C165" s="15" t="s">
        <v>587</v>
      </c>
      <c r="D165" s="15" t="s">
        <v>132</v>
      </c>
      <c r="E165" s="14" t="s">
        <v>66</v>
      </c>
      <c r="F165" s="14" t="s">
        <v>35</v>
      </c>
      <c r="G165" s="16">
        <f>300.8*(1/0.94*0.96)</f>
        <v>307.2</v>
      </c>
      <c r="H165" s="17">
        <f t="shared" si="7"/>
        <v>614.4</v>
      </c>
    </row>
    <row r="166" spans="1:8">
      <c r="A166" s="14">
        <v>31</v>
      </c>
      <c r="B166" s="15" t="s">
        <v>588</v>
      </c>
      <c r="C166" s="15" t="s">
        <v>589</v>
      </c>
      <c r="D166" s="15"/>
      <c r="E166" s="14" t="s">
        <v>447</v>
      </c>
      <c r="F166" s="14" t="s">
        <v>29</v>
      </c>
      <c r="G166" s="16">
        <f>1261.48*(1/0.94*0.96)</f>
        <v>1288.32</v>
      </c>
      <c r="H166" s="17">
        <f t="shared" si="7"/>
        <v>1288.32</v>
      </c>
    </row>
    <row r="167" spans="1:8">
      <c r="A167" s="11" t="s">
        <v>590</v>
      </c>
      <c r="B167" s="11"/>
      <c r="C167" s="11"/>
      <c r="D167" s="11"/>
      <c r="E167" s="11"/>
      <c r="F167" s="11"/>
      <c r="G167" s="16"/>
      <c r="H167" s="18"/>
    </row>
    <row r="168" ht="56.25" spans="1:8">
      <c r="A168" s="14" t="s">
        <v>29</v>
      </c>
      <c r="B168" s="15" t="s">
        <v>591</v>
      </c>
      <c r="C168" s="15" t="s">
        <v>507</v>
      </c>
      <c r="D168" s="15" t="s">
        <v>511</v>
      </c>
      <c r="E168" s="14" t="s">
        <v>33</v>
      </c>
      <c r="F168" s="14" t="s">
        <v>592</v>
      </c>
      <c r="G168" s="16">
        <f>12.77*(1/0.94*0.96)</f>
        <v>13.04</v>
      </c>
      <c r="H168" s="17">
        <f>ROUND(F168*G168,2)</f>
        <v>3912</v>
      </c>
    </row>
    <row r="169" ht="45" spans="1:8">
      <c r="A169" s="14" t="s">
        <v>35</v>
      </c>
      <c r="B169" s="15" t="s">
        <v>593</v>
      </c>
      <c r="C169" s="15" t="s">
        <v>507</v>
      </c>
      <c r="D169" s="15" t="s">
        <v>508</v>
      </c>
      <c r="E169" s="14" t="s">
        <v>33</v>
      </c>
      <c r="F169" s="14" t="s">
        <v>594</v>
      </c>
      <c r="G169" s="16">
        <f>18.14*(1/0.94*0.96)</f>
        <v>18.53</v>
      </c>
      <c r="H169" s="17">
        <f t="shared" ref="H169:H175" si="8">ROUND(F169*G169,2)</f>
        <v>2779.5</v>
      </c>
    </row>
    <row r="170" ht="33.75" spans="1:8">
      <c r="A170" s="14" t="s">
        <v>40</v>
      </c>
      <c r="B170" s="15" t="s">
        <v>595</v>
      </c>
      <c r="C170" s="15" t="s">
        <v>516</v>
      </c>
      <c r="D170" s="15" t="s">
        <v>517</v>
      </c>
      <c r="E170" s="14" t="s">
        <v>518</v>
      </c>
      <c r="F170" s="14" t="s">
        <v>596</v>
      </c>
      <c r="G170" s="16">
        <f>17.06*(1/0.94*0.96)</f>
        <v>17.42</v>
      </c>
      <c r="H170" s="17">
        <f t="shared" si="8"/>
        <v>324.01</v>
      </c>
    </row>
    <row r="171" ht="33.75" spans="1:8">
      <c r="A171" s="14" t="s">
        <v>45</v>
      </c>
      <c r="B171" s="15" t="s">
        <v>597</v>
      </c>
      <c r="C171" s="15" t="s">
        <v>598</v>
      </c>
      <c r="D171" s="15" t="s">
        <v>599</v>
      </c>
      <c r="E171" s="14" t="s">
        <v>33</v>
      </c>
      <c r="F171" s="14" t="s">
        <v>600</v>
      </c>
      <c r="G171" s="16">
        <f>6.19*(1/0.94*0.96)</f>
        <v>6.32</v>
      </c>
      <c r="H171" s="17">
        <f t="shared" si="8"/>
        <v>4858.5</v>
      </c>
    </row>
    <row r="172" spans="1:8">
      <c r="A172" s="14" t="s">
        <v>51</v>
      </c>
      <c r="B172" s="15" t="s">
        <v>601</v>
      </c>
      <c r="C172" s="15" t="s">
        <v>602</v>
      </c>
      <c r="D172" s="15" t="s">
        <v>603</v>
      </c>
      <c r="E172" s="14" t="s">
        <v>604</v>
      </c>
      <c r="F172" s="14" t="s">
        <v>102</v>
      </c>
      <c r="G172" s="16">
        <f>12.98*(1/0.94*0.96)</f>
        <v>13.26</v>
      </c>
      <c r="H172" s="17">
        <f t="shared" si="8"/>
        <v>198.9</v>
      </c>
    </row>
    <row r="173" spans="1:8">
      <c r="A173" s="14" t="s">
        <v>56</v>
      </c>
      <c r="B173" s="15" t="s">
        <v>605</v>
      </c>
      <c r="C173" s="15" t="s">
        <v>606</v>
      </c>
      <c r="D173" s="15" t="s">
        <v>607</v>
      </c>
      <c r="E173" s="14" t="s">
        <v>66</v>
      </c>
      <c r="F173" s="14" t="s">
        <v>56</v>
      </c>
      <c r="G173" s="16">
        <f>42.93*(1/0.94*0.96)</f>
        <v>43.84</v>
      </c>
      <c r="H173" s="17">
        <f t="shared" si="8"/>
        <v>263.04</v>
      </c>
    </row>
    <row r="174" spans="1:8">
      <c r="A174" s="14" t="s">
        <v>62</v>
      </c>
      <c r="B174" s="15" t="s">
        <v>608</v>
      </c>
      <c r="C174" s="15" t="s">
        <v>606</v>
      </c>
      <c r="D174" s="15" t="s">
        <v>609</v>
      </c>
      <c r="E174" s="14" t="s">
        <v>66</v>
      </c>
      <c r="F174" s="14" t="s">
        <v>40</v>
      </c>
      <c r="G174" s="16">
        <f>26.69*(1/0.94*0.96)</f>
        <v>27.26</v>
      </c>
      <c r="H174" s="17">
        <f t="shared" si="8"/>
        <v>81.78</v>
      </c>
    </row>
    <row r="175" spans="1:8">
      <c r="A175" s="14" t="s">
        <v>67</v>
      </c>
      <c r="B175" s="15" t="s">
        <v>610</v>
      </c>
      <c r="C175" s="15" t="s">
        <v>606</v>
      </c>
      <c r="D175" s="15" t="s">
        <v>611</v>
      </c>
      <c r="E175" s="14" t="s">
        <v>66</v>
      </c>
      <c r="F175" s="14" t="s">
        <v>72</v>
      </c>
      <c r="G175" s="16">
        <f>17.18*(1/0.94*0.96)</f>
        <v>17.55</v>
      </c>
      <c r="H175" s="17">
        <f t="shared" si="8"/>
        <v>157.95</v>
      </c>
    </row>
    <row r="176" spans="1:8">
      <c r="A176" s="11" t="s">
        <v>612</v>
      </c>
      <c r="B176" s="11"/>
      <c r="C176" s="11"/>
      <c r="D176" s="11"/>
      <c r="E176" s="11"/>
      <c r="F176" s="11"/>
      <c r="G176" s="16"/>
      <c r="H176" s="18"/>
    </row>
    <row r="177" ht="78.75" spans="1:8">
      <c r="A177" s="14" t="s">
        <v>29</v>
      </c>
      <c r="B177" s="15" t="s">
        <v>613</v>
      </c>
      <c r="C177" s="15" t="s">
        <v>614</v>
      </c>
      <c r="D177" s="15" t="s">
        <v>615</v>
      </c>
      <c r="E177" s="14" t="s">
        <v>33</v>
      </c>
      <c r="F177" s="14" t="s">
        <v>616</v>
      </c>
      <c r="G177" s="16">
        <f>27.38*(1/0.94*0.96)</f>
        <v>27.96</v>
      </c>
      <c r="H177" s="17">
        <f>ROUND(F177*G177,2)</f>
        <v>720.25</v>
      </c>
    </row>
    <row r="178" ht="78.75" spans="1:8">
      <c r="A178" s="14" t="s">
        <v>35</v>
      </c>
      <c r="B178" s="15" t="s">
        <v>617</v>
      </c>
      <c r="C178" s="15" t="s">
        <v>614</v>
      </c>
      <c r="D178" s="15" t="s">
        <v>618</v>
      </c>
      <c r="E178" s="14" t="s">
        <v>33</v>
      </c>
      <c r="F178" s="14" t="s">
        <v>619</v>
      </c>
      <c r="G178" s="16">
        <f>30.84*(1/0.94*0.96)</f>
        <v>31.5</v>
      </c>
      <c r="H178" s="17">
        <f>ROUND(F178*G178,2)</f>
        <v>494.24</v>
      </c>
    </row>
    <row r="179" ht="78.75" spans="1:8">
      <c r="A179" s="14" t="s">
        <v>40</v>
      </c>
      <c r="B179" s="15" t="s">
        <v>620</v>
      </c>
      <c r="C179" s="15" t="s">
        <v>614</v>
      </c>
      <c r="D179" s="15" t="s">
        <v>621</v>
      </c>
      <c r="E179" s="14" t="s">
        <v>33</v>
      </c>
      <c r="F179" s="14" t="s">
        <v>622</v>
      </c>
      <c r="G179" s="16">
        <f>34.93*(1/0.94*0.96)</f>
        <v>35.67</v>
      </c>
      <c r="H179" s="17">
        <f t="shared" ref="H179:H184" si="9">ROUND(F179*G179,2)</f>
        <v>65.63</v>
      </c>
    </row>
    <row r="180" ht="78.75" spans="1:8">
      <c r="A180" s="14" t="s">
        <v>45</v>
      </c>
      <c r="B180" s="15" t="s">
        <v>623</v>
      </c>
      <c r="C180" s="15" t="s">
        <v>614</v>
      </c>
      <c r="D180" s="15" t="s">
        <v>624</v>
      </c>
      <c r="E180" s="14" t="s">
        <v>33</v>
      </c>
      <c r="F180" s="14" t="s">
        <v>625</v>
      </c>
      <c r="G180" s="16">
        <f>40.3*(1/0.94*0.96)</f>
        <v>41.16</v>
      </c>
      <c r="H180" s="17">
        <f t="shared" si="9"/>
        <v>145.29</v>
      </c>
    </row>
    <row r="181" ht="22.5" spans="1:8">
      <c r="A181" s="14" t="s">
        <v>51</v>
      </c>
      <c r="B181" s="15" t="s">
        <v>626</v>
      </c>
      <c r="C181" s="15" t="s">
        <v>521</v>
      </c>
      <c r="D181" s="15" t="s">
        <v>522</v>
      </c>
      <c r="E181" s="14" t="s">
        <v>33</v>
      </c>
      <c r="F181" s="14" t="s">
        <v>627</v>
      </c>
      <c r="G181" s="16">
        <f>24*(1/0.94*0.96)</f>
        <v>24.51</v>
      </c>
      <c r="H181" s="17">
        <f t="shared" si="9"/>
        <v>534.32</v>
      </c>
    </row>
    <row r="182" ht="33.75" spans="1:8">
      <c r="A182" s="14" t="s">
        <v>56</v>
      </c>
      <c r="B182" s="15" t="s">
        <v>628</v>
      </c>
      <c r="C182" s="15" t="s">
        <v>629</v>
      </c>
      <c r="D182" s="15" t="s">
        <v>630</v>
      </c>
      <c r="E182" s="14" t="s">
        <v>66</v>
      </c>
      <c r="F182" s="14" t="s">
        <v>29</v>
      </c>
      <c r="G182" s="16">
        <f>91.15*(1/0.94*0.96)</f>
        <v>93.09</v>
      </c>
      <c r="H182" s="17">
        <f t="shared" si="9"/>
        <v>93.09</v>
      </c>
    </row>
    <row r="183" spans="1:8">
      <c r="A183" s="11" t="s">
        <v>631</v>
      </c>
      <c r="B183" s="11"/>
      <c r="C183" s="11"/>
      <c r="D183" s="11"/>
      <c r="E183" s="11"/>
      <c r="F183" s="11"/>
      <c r="G183" s="16"/>
      <c r="H183" s="18"/>
    </row>
    <row r="184" ht="67.5" spans="1:8">
      <c r="A184" s="14" t="s">
        <v>29</v>
      </c>
      <c r="B184" s="15" t="s">
        <v>632</v>
      </c>
      <c r="C184" s="15" t="s">
        <v>614</v>
      </c>
      <c r="D184" s="15" t="s">
        <v>633</v>
      </c>
      <c r="E184" s="14" t="s">
        <v>33</v>
      </c>
      <c r="F184" s="14" t="s">
        <v>634</v>
      </c>
      <c r="G184" s="16">
        <f>35.95*(1/0.94*0.96)</f>
        <v>36.71</v>
      </c>
      <c r="H184" s="17">
        <f t="shared" si="9"/>
        <v>452.63</v>
      </c>
    </row>
    <row r="185" ht="78.75" spans="1:8">
      <c r="A185" s="14" t="s">
        <v>35</v>
      </c>
      <c r="B185" s="15" t="s">
        <v>635</v>
      </c>
      <c r="C185" s="15" t="s">
        <v>614</v>
      </c>
      <c r="D185" s="15" t="s">
        <v>636</v>
      </c>
      <c r="E185" s="14" t="s">
        <v>33</v>
      </c>
      <c r="F185" s="14" t="s">
        <v>637</v>
      </c>
      <c r="G185" s="16">
        <f>44.48*(1/0.94*0.96)</f>
        <v>45.43</v>
      </c>
      <c r="H185" s="17">
        <f t="shared" ref="H185:H193" si="10">ROUND(F185*G185,2)</f>
        <v>274.4</v>
      </c>
    </row>
    <row r="186" ht="78.75" spans="1:8">
      <c r="A186" s="14" t="s">
        <v>40</v>
      </c>
      <c r="B186" s="15" t="s">
        <v>638</v>
      </c>
      <c r="C186" s="15" t="s">
        <v>614</v>
      </c>
      <c r="D186" s="15" t="s">
        <v>639</v>
      </c>
      <c r="E186" s="14" t="s">
        <v>33</v>
      </c>
      <c r="F186" s="14" t="s">
        <v>640</v>
      </c>
      <c r="G186" s="16">
        <f>63.42*(1/0.94*0.96)</f>
        <v>64.77</v>
      </c>
      <c r="H186" s="17">
        <f t="shared" si="10"/>
        <v>1470.28</v>
      </c>
    </row>
    <row r="187" ht="22.5" spans="1:8">
      <c r="A187" s="14" t="s">
        <v>45</v>
      </c>
      <c r="B187" s="15" t="s">
        <v>641</v>
      </c>
      <c r="C187" s="15" t="s">
        <v>642</v>
      </c>
      <c r="D187" s="15" t="s">
        <v>643</v>
      </c>
      <c r="E187" s="14" t="s">
        <v>644</v>
      </c>
      <c r="F187" s="14" t="s">
        <v>40</v>
      </c>
      <c r="G187" s="16">
        <f>2969.93*(1/0.94*0.96)</f>
        <v>3033.12</v>
      </c>
      <c r="H187" s="17">
        <f t="shared" si="10"/>
        <v>9099.36</v>
      </c>
    </row>
    <row r="188" ht="33.75" spans="1:8">
      <c r="A188" s="14" t="s">
        <v>51</v>
      </c>
      <c r="B188" s="15" t="s">
        <v>645</v>
      </c>
      <c r="C188" s="15" t="s">
        <v>646</v>
      </c>
      <c r="D188" s="15" t="s">
        <v>647</v>
      </c>
      <c r="E188" s="14" t="s">
        <v>644</v>
      </c>
      <c r="F188" s="14" t="s">
        <v>35</v>
      </c>
      <c r="G188" s="16">
        <f>1256.83*(1/0.94*0.96)</f>
        <v>1283.57</v>
      </c>
      <c r="H188" s="17">
        <f t="shared" si="10"/>
        <v>2567.14</v>
      </c>
    </row>
    <row r="189" ht="22.5" spans="1:8">
      <c r="A189" s="14" t="s">
        <v>56</v>
      </c>
      <c r="B189" s="15" t="s">
        <v>648</v>
      </c>
      <c r="C189" s="15" t="s">
        <v>649</v>
      </c>
      <c r="D189" s="15" t="s">
        <v>650</v>
      </c>
      <c r="E189" s="14" t="s">
        <v>644</v>
      </c>
      <c r="F189" s="14" t="s">
        <v>56</v>
      </c>
      <c r="G189" s="16">
        <f>2244.45*(1/0.94*0.96)</f>
        <v>2292.2</v>
      </c>
      <c r="H189" s="17">
        <f t="shared" si="10"/>
        <v>13753.2</v>
      </c>
    </row>
    <row r="190" ht="22.5" spans="1:8">
      <c r="A190" s="14" t="s">
        <v>62</v>
      </c>
      <c r="B190" s="15" t="s">
        <v>651</v>
      </c>
      <c r="C190" s="15" t="s">
        <v>652</v>
      </c>
      <c r="D190" s="15" t="s">
        <v>653</v>
      </c>
      <c r="E190" s="14" t="s">
        <v>644</v>
      </c>
      <c r="F190" s="14" t="s">
        <v>29</v>
      </c>
      <c r="G190" s="16">
        <f>1017.87*(1/0.94*0.96)</f>
        <v>1039.53</v>
      </c>
      <c r="H190" s="17">
        <f t="shared" si="10"/>
        <v>1039.53</v>
      </c>
    </row>
    <row r="191" ht="22.5" spans="1:8">
      <c r="A191" s="14" t="s">
        <v>67</v>
      </c>
      <c r="B191" s="15" t="s">
        <v>654</v>
      </c>
      <c r="C191" s="15" t="s">
        <v>655</v>
      </c>
      <c r="D191" s="15" t="s">
        <v>656</v>
      </c>
      <c r="E191" s="14" t="s">
        <v>66</v>
      </c>
      <c r="F191" s="14" t="s">
        <v>97</v>
      </c>
      <c r="G191" s="16">
        <f>136.31*(1/0.94*0.96)</f>
        <v>139.21</v>
      </c>
      <c r="H191" s="17">
        <f t="shared" si="10"/>
        <v>1948.94</v>
      </c>
    </row>
    <row r="192" ht="22.5" spans="1:8">
      <c r="A192" s="14" t="s">
        <v>72</v>
      </c>
      <c r="B192" s="15" t="s">
        <v>657</v>
      </c>
      <c r="C192" s="15" t="s">
        <v>658</v>
      </c>
      <c r="D192" s="15" t="s">
        <v>659</v>
      </c>
      <c r="E192" s="14" t="s">
        <v>33</v>
      </c>
      <c r="F192" s="14" t="s">
        <v>660</v>
      </c>
      <c r="G192" s="16">
        <f>44.96*(1/0.94*0.96)</f>
        <v>45.92</v>
      </c>
      <c r="H192" s="17">
        <f t="shared" si="10"/>
        <v>1136.06</v>
      </c>
    </row>
    <row r="193" ht="22.5" spans="1:8">
      <c r="A193" s="14" t="s">
        <v>77</v>
      </c>
      <c r="B193" s="15" t="s">
        <v>661</v>
      </c>
      <c r="C193" s="15" t="s">
        <v>658</v>
      </c>
      <c r="D193" s="15" t="s">
        <v>662</v>
      </c>
      <c r="E193" s="14" t="s">
        <v>33</v>
      </c>
      <c r="F193" s="14" t="s">
        <v>663</v>
      </c>
      <c r="G193" s="16">
        <f>41.74*(1/0.94*0.96)</f>
        <v>42.63</v>
      </c>
      <c r="H193" s="17">
        <f t="shared" si="10"/>
        <v>291.16</v>
      </c>
    </row>
    <row r="194" spans="1:8">
      <c r="A194" s="11" t="s">
        <v>664</v>
      </c>
      <c r="B194" s="11"/>
      <c r="C194" s="11"/>
      <c r="D194" s="11"/>
      <c r="E194" s="11"/>
      <c r="F194" s="11"/>
      <c r="G194" s="16"/>
      <c r="H194" s="18"/>
    </row>
    <row r="195" spans="1:8">
      <c r="A195" s="14" t="s">
        <v>29</v>
      </c>
      <c r="B195" s="15" t="s">
        <v>665</v>
      </c>
      <c r="C195" s="15" t="s">
        <v>666</v>
      </c>
      <c r="D195" s="15" t="s">
        <v>667</v>
      </c>
      <c r="E195" s="14" t="s">
        <v>413</v>
      </c>
      <c r="F195" s="14" t="s">
        <v>29</v>
      </c>
      <c r="G195" s="16">
        <f>463.23*(1/0.94*0.96)</f>
        <v>473.09</v>
      </c>
      <c r="H195" s="17">
        <f>ROUND(F195*G195,2)</f>
        <v>473.09</v>
      </c>
    </row>
    <row r="196" spans="1:8">
      <c r="A196" s="14" t="s">
        <v>35</v>
      </c>
      <c r="B196" s="15" t="s">
        <v>668</v>
      </c>
      <c r="C196" s="15" t="s">
        <v>614</v>
      </c>
      <c r="D196" s="15" t="s">
        <v>669</v>
      </c>
      <c r="E196" s="14" t="s">
        <v>33</v>
      </c>
      <c r="F196" s="14" t="s">
        <v>670</v>
      </c>
      <c r="G196" s="16">
        <f>37.99*(1/0.94*0.96)</f>
        <v>38.8</v>
      </c>
      <c r="H196" s="17">
        <f t="shared" ref="H196:H214" si="11">ROUND(F196*G196,2)</f>
        <v>166.84</v>
      </c>
    </row>
    <row r="197" ht="56.25" spans="1:8">
      <c r="A197" s="14" t="s">
        <v>40</v>
      </c>
      <c r="B197" s="15" t="s">
        <v>671</v>
      </c>
      <c r="C197" s="15" t="s">
        <v>614</v>
      </c>
      <c r="D197" s="15" t="s">
        <v>672</v>
      </c>
      <c r="E197" s="14" t="s">
        <v>33</v>
      </c>
      <c r="F197" s="14" t="s">
        <v>673</v>
      </c>
      <c r="G197" s="16">
        <f>38.54*(1/0.94*0.96)</f>
        <v>39.36</v>
      </c>
      <c r="H197" s="17">
        <f t="shared" si="11"/>
        <v>2558.4</v>
      </c>
    </row>
    <row r="198" spans="1:8">
      <c r="A198" s="14" t="s">
        <v>45</v>
      </c>
      <c r="B198" s="15" t="s">
        <v>674</v>
      </c>
      <c r="C198" s="15" t="s">
        <v>541</v>
      </c>
      <c r="D198" s="15" t="s">
        <v>675</v>
      </c>
      <c r="E198" s="14" t="s">
        <v>413</v>
      </c>
      <c r="F198" s="14" t="s">
        <v>102</v>
      </c>
      <c r="G198" s="16">
        <f>9.42*(1/0.94*0.96)</f>
        <v>9.62</v>
      </c>
      <c r="H198" s="17">
        <f t="shared" si="11"/>
        <v>144.3</v>
      </c>
    </row>
    <row r="199" spans="1:8">
      <c r="A199" s="14" t="s">
        <v>51</v>
      </c>
      <c r="B199" s="15" t="s">
        <v>676</v>
      </c>
      <c r="C199" s="15" t="s">
        <v>677</v>
      </c>
      <c r="D199" s="15" t="s">
        <v>678</v>
      </c>
      <c r="E199" s="14" t="s">
        <v>413</v>
      </c>
      <c r="F199" s="14" t="s">
        <v>29</v>
      </c>
      <c r="G199" s="16">
        <f>9.77*(1/0.94*0.96)</f>
        <v>9.98</v>
      </c>
      <c r="H199" s="17">
        <f t="shared" si="11"/>
        <v>9.98</v>
      </c>
    </row>
    <row r="200" spans="1:8">
      <c r="A200" s="14" t="s">
        <v>56</v>
      </c>
      <c r="B200" s="15" t="s">
        <v>679</v>
      </c>
      <c r="C200" s="15" t="s">
        <v>677</v>
      </c>
      <c r="D200" s="15" t="s">
        <v>680</v>
      </c>
      <c r="E200" s="14" t="s">
        <v>413</v>
      </c>
      <c r="F200" s="14" t="s">
        <v>77</v>
      </c>
      <c r="G200" s="16">
        <f>169.46*(1/0.94*0.96)</f>
        <v>173.07</v>
      </c>
      <c r="H200" s="17">
        <f t="shared" si="11"/>
        <v>1730.7</v>
      </c>
    </row>
    <row r="201" spans="1:8">
      <c r="A201" s="14" t="s">
        <v>62</v>
      </c>
      <c r="B201" s="15" t="s">
        <v>681</v>
      </c>
      <c r="C201" s="15" t="s">
        <v>507</v>
      </c>
      <c r="D201" s="15" t="s">
        <v>682</v>
      </c>
      <c r="E201" s="14" t="s">
        <v>33</v>
      </c>
      <c r="F201" s="14" t="s">
        <v>230</v>
      </c>
      <c r="G201" s="16">
        <f>2.84*(1/0.94*0.96)</f>
        <v>2.9</v>
      </c>
      <c r="H201" s="17">
        <f t="shared" si="11"/>
        <v>133.4</v>
      </c>
    </row>
    <row r="202" spans="1:8">
      <c r="A202" s="14" t="s">
        <v>67</v>
      </c>
      <c r="B202" s="15" t="s">
        <v>683</v>
      </c>
      <c r="C202" s="15" t="s">
        <v>525</v>
      </c>
      <c r="D202" s="15" t="s">
        <v>684</v>
      </c>
      <c r="E202" s="14" t="s">
        <v>33</v>
      </c>
      <c r="F202" s="14" t="s">
        <v>685</v>
      </c>
      <c r="G202" s="16">
        <f>0.52*(1/0.94*0.96)</f>
        <v>0.53</v>
      </c>
      <c r="H202" s="17">
        <f t="shared" si="11"/>
        <v>73.14</v>
      </c>
    </row>
    <row r="203" spans="1:8">
      <c r="A203" s="14" t="s">
        <v>72</v>
      </c>
      <c r="B203" s="15" t="s">
        <v>686</v>
      </c>
      <c r="C203" s="15" t="s">
        <v>584</v>
      </c>
      <c r="D203" s="15" t="s">
        <v>687</v>
      </c>
      <c r="E203" s="14" t="s">
        <v>505</v>
      </c>
      <c r="F203" s="14" t="s">
        <v>40</v>
      </c>
      <c r="G203" s="16">
        <f>338.81*(1/0.94*0.96)</f>
        <v>346.02</v>
      </c>
      <c r="H203" s="17">
        <f t="shared" si="11"/>
        <v>1038.06</v>
      </c>
    </row>
    <row r="204" spans="1:8">
      <c r="A204" s="14" t="s">
        <v>77</v>
      </c>
      <c r="B204" s="15" t="s">
        <v>688</v>
      </c>
      <c r="C204" s="15" t="s">
        <v>614</v>
      </c>
      <c r="D204" s="15" t="s">
        <v>689</v>
      </c>
      <c r="E204" s="14" t="s">
        <v>33</v>
      </c>
      <c r="F204" s="14" t="s">
        <v>690</v>
      </c>
      <c r="G204" s="16">
        <f>30.54*(1/0.94*0.96)</f>
        <v>31.19</v>
      </c>
      <c r="H204" s="17">
        <f t="shared" si="11"/>
        <v>1408.54</v>
      </c>
    </row>
    <row r="205" spans="1:8">
      <c r="A205" s="14" t="s">
        <v>82</v>
      </c>
      <c r="B205" s="15" t="s">
        <v>691</v>
      </c>
      <c r="C205" s="15" t="s">
        <v>692</v>
      </c>
      <c r="D205" s="15" t="s">
        <v>693</v>
      </c>
      <c r="E205" s="14" t="s">
        <v>33</v>
      </c>
      <c r="F205" s="14" t="s">
        <v>690</v>
      </c>
      <c r="G205" s="16">
        <f>84.05*(1/0.94*0.96)</f>
        <v>85.84</v>
      </c>
      <c r="H205" s="17">
        <f t="shared" si="11"/>
        <v>3876.53</v>
      </c>
    </row>
    <row r="206" spans="1:8">
      <c r="A206" s="14" t="s">
        <v>87</v>
      </c>
      <c r="B206" s="15" t="s">
        <v>694</v>
      </c>
      <c r="C206" s="15" t="s">
        <v>692</v>
      </c>
      <c r="D206" s="15" t="s">
        <v>695</v>
      </c>
      <c r="E206" s="14" t="s">
        <v>33</v>
      </c>
      <c r="F206" s="14" t="s">
        <v>690</v>
      </c>
      <c r="G206" s="16">
        <f>56.23*(1/0.94*0.96)</f>
        <v>57.43</v>
      </c>
      <c r="H206" s="17">
        <f t="shared" si="11"/>
        <v>2593.54</v>
      </c>
    </row>
    <row r="207" spans="1:8">
      <c r="A207" s="14" t="s">
        <v>92</v>
      </c>
      <c r="B207" s="15" t="s">
        <v>696</v>
      </c>
      <c r="C207" s="15" t="s">
        <v>642</v>
      </c>
      <c r="D207" s="15" t="s">
        <v>697</v>
      </c>
      <c r="E207" s="14" t="s">
        <v>644</v>
      </c>
      <c r="F207" s="14" t="s">
        <v>51</v>
      </c>
      <c r="G207" s="16">
        <f>55.86*(1/0.94*0.96)</f>
        <v>57.05</v>
      </c>
      <c r="H207" s="17">
        <f t="shared" si="11"/>
        <v>285.25</v>
      </c>
    </row>
    <row r="208" spans="1:8">
      <c r="A208" s="14" t="s">
        <v>97</v>
      </c>
      <c r="B208" s="15" t="s">
        <v>698</v>
      </c>
      <c r="C208" s="15" t="s">
        <v>642</v>
      </c>
      <c r="D208" s="15" t="s">
        <v>699</v>
      </c>
      <c r="E208" s="14" t="s">
        <v>644</v>
      </c>
      <c r="F208" s="14" t="s">
        <v>51</v>
      </c>
      <c r="G208" s="16">
        <f>19.39*(1/0.94*0.96)</f>
        <v>19.8</v>
      </c>
      <c r="H208" s="17">
        <f t="shared" si="11"/>
        <v>99</v>
      </c>
    </row>
    <row r="209" spans="1:8">
      <c r="A209" s="14" t="s">
        <v>102</v>
      </c>
      <c r="B209" s="15" t="s">
        <v>700</v>
      </c>
      <c r="C209" s="15" t="s">
        <v>541</v>
      </c>
      <c r="D209" s="15" t="s">
        <v>701</v>
      </c>
      <c r="E209" s="14" t="s">
        <v>413</v>
      </c>
      <c r="F209" s="14" t="s">
        <v>56</v>
      </c>
      <c r="G209" s="16">
        <f>9.42*(1/0.94*0.96)</f>
        <v>9.62</v>
      </c>
      <c r="H209" s="17">
        <f t="shared" si="11"/>
        <v>57.72</v>
      </c>
    </row>
    <row r="210" spans="1:8">
      <c r="A210" s="14" t="s">
        <v>106</v>
      </c>
      <c r="B210" s="15" t="s">
        <v>702</v>
      </c>
      <c r="C210" s="15" t="s">
        <v>703</v>
      </c>
      <c r="D210" s="15" t="s">
        <v>704</v>
      </c>
      <c r="E210" s="14" t="s">
        <v>505</v>
      </c>
      <c r="F210" s="14" t="s">
        <v>35</v>
      </c>
      <c r="G210" s="16">
        <f>38.15*(1/0.94*0.96)</f>
        <v>38.96</v>
      </c>
      <c r="H210" s="17">
        <f t="shared" si="11"/>
        <v>77.92</v>
      </c>
    </row>
    <row r="211" spans="1:8">
      <c r="A211" s="14" t="s">
        <v>111</v>
      </c>
      <c r="B211" s="15" t="s">
        <v>705</v>
      </c>
      <c r="C211" s="15" t="s">
        <v>584</v>
      </c>
      <c r="D211" s="15" t="s">
        <v>706</v>
      </c>
      <c r="E211" s="14" t="s">
        <v>505</v>
      </c>
      <c r="F211" s="14" t="s">
        <v>67</v>
      </c>
      <c r="G211" s="16">
        <f>338.81*(1/0.94*0.96)</f>
        <v>346.02</v>
      </c>
      <c r="H211" s="17">
        <f t="shared" si="11"/>
        <v>2768.16</v>
      </c>
    </row>
    <row r="212" spans="1:8">
      <c r="A212" s="14" t="s">
        <v>116</v>
      </c>
      <c r="B212" s="15" t="s">
        <v>707</v>
      </c>
      <c r="C212" s="15" t="s">
        <v>614</v>
      </c>
      <c r="D212" s="15" t="s">
        <v>689</v>
      </c>
      <c r="E212" s="14" t="s">
        <v>33</v>
      </c>
      <c r="F212" s="14" t="s">
        <v>148</v>
      </c>
      <c r="G212" s="16">
        <f>30.54*(1/0.94*0.96)</f>
        <v>31.19</v>
      </c>
      <c r="H212" s="17">
        <f t="shared" si="11"/>
        <v>779.75</v>
      </c>
    </row>
    <row r="213" spans="1:8">
      <c r="A213" s="14" t="s">
        <v>121</v>
      </c>
      <c r="B213" s="15" t="s">
        <v>708</v>
      </c>
      <c r="C213" s="15" t="s">
        <v>692</v>
      </c>
      <c r="D213" s="15" t="s">
        <v>693</v>
      </c>
      <c r="E213" s="14" t="s">
        <v>33</v>
      </c>
      <c r="F213" s="14" t="s">
        <v>148</v>
      </c>
      <c r="G213" s="16">
        <f>84.05*(1/0.94*0.96)</f>
        <v>85.84</v>
      </c>
      <c r="H213" s="17">
        <f t="shared" si="11"/>
        <v>2146</v>
      </c>
    </row>
    <row r="214" spans="1:8">
      <c r="A214" s="14" t="s">
        <v>110</v>
      </c>
      <c r="B214" s="15" t="s">
        <v>709</v>
      </c>
      <c r="C214" s="15" t="s">
        <v>692</v>
      </c>
      <c r="D214" s="15" t="s">
        <v>695</v>
      </c>
      <c r="E214" s="14" t="s">
        <v>33</v>
      </c>
      <c r="F214" s="14" t="s">
        <v>148</v>
      </c>
      <c r="G214" s="16">
        <f>56.23*(1/0.94*0.96)</f>
        <v>57.43</v>
      </c>
      <c r="H214" s="17">
        <f t="shared" si="11"/>
        <v>1435.75</v>
      </c>
    </row>
    <row r="215" spans="1:8">
      <c r="A215" s="14"/>
      <c r="B215" s="15"/>
      <c r="C215" s="15"/>
      <c r="D215" s="15"/>
      <c r="E215" s="14"/>
      <c r="F215" s="19" t="s">
        <v>499</v>
      </c>
      <c r="G215" s="16"/>
      <c r="H215" s="19">
        <f>SUM(H136:H214)</f>
        <v>110188.88</v>
      </c>
    </row>
    <row r="216" ht="23" customHeight="1" spans="1:8">
      <c r="A216" s="11" t="s">
        <v>710</v>
      </c>
      <c r="B216" s="11"/>
      <c r="C216" s="11"/>
      <c r="D216" s="11"/>
      <c r="E216" s="11"/>
      <c r="F216" s="11"/>
      <c r="G216" s="16"/>
      <c r="H216" s="18"/>
    </row>
    <row r="217" ht="22.5" spans="1:8">
      <c r="A217" s="14" t="s">
        <v>29</v>
      </c>
      <c r="B217" s="15" t="s">
        <v>711</v>
      </c>
      <c r="C217" s="15" t="s">
        <v>712</v>
      </c>
      <c r="D217" s="15" t="s">
        <v>713</v>
      </c>
      <c r="E217" s="14" t="s">
        <v>413</v>
      </c>
      <c r="F217" s="14" t="s">
        <v>29</v>
      </c>
      <c r="G217" s="16">
        <f>13976.49*(1/0.94*0.96)</f>
        <v>14273.86</v>
      </c>
      <c r="H217" s="17">
        <f>ROUND(F217*G217,2)</f>
        <v>14273.86</v>
      </c>
    </row>
    <row r="218" ht="33.75" spans="1:8">
      <c r="A218" s="14" t="s">
        <v>35</v>
      </c>
      <c r="B218" s="15" t="s">
        <v>714</v>
      </c>
      <c r="C218" s="15" t="s">
        <v>715</v>
      </c>
      <c r="D218" s="15" t="s">
        <v>716</v>
      </c>
      <c r="E218" s="14" t="s">
        <v>60</v>
      </c>
      <c r="F218" s="14" t="s">
        <v>717</v>
      </c>
      <c r="G218" s="16">
        <f>349.41*(1/0.94*0.96)</f>
        <v>356.84</v>
      </c>
      <c r="H218" s="17">
        <f t="shared" ref="H218:H256" si="12">ROUND(F218*G218,2)</f>
        <v>2055.4</v>
      </c>
    </row>
    <row r="219" ht="33.75" spans="1:8">
      <c r="A219" s="14" t="s">
        <v>40</v>
      </c>
      <c r="B219" s="15" t="s">
        <v>718</v>
      </c>
      <c r="C219" s="15" t="s">
        <v>386</v>
      </c>
      <c r="D219" s="15" t="s">
        <v>719</v>
      </c>
      <c r="E219" s="14" t="s">
        <v>60</v>
      </c>
      <c r="F219" s="14" t="s">
        <v>720</v>
      </c>
      <c r="G219" s="16">
        <f>1576.05*(1/0.94*0.96)</f>
        <v>1609.58</v>
      </c>
      <c r="H219" s="17">
        <f t="shared" si="12"/>
        <v>17560.52</v>
      </c>
    </row>
    <row r="220" ht="33.75" spans="1:8">
      <c r="A220" s="14" t="s">
        <v>45</v>
      </c>
      <c r="B220" s="15" t="s">
        <v>721</v>
      </c>
      <c r="C220" s="15" t="s">
        <v>722</v>
      </c>
      <c r="D220" s="15" t="s">
        <v>723</v>
      </c>
      <c r="E220" s="14" t="s">
        <v>60</v>
      </c>
      <c r="F220" s="14" t="s">
        <v>724</v>
      </c>
      <c r="G220" s="16">
        <f>1234.39*(1/0.94*0.96)</f>
        <v>1260.65</v>
      </c>
      <c r="H220" s="17">
        <f t="shared" si="12"/>
        <v>13879.76</v>
      </c>
    </row>
    <row r="221" ht="56.25" spans="1:8">
      <c r="A221" s="14" t="s">
        <v>51</v>
      </c>
      <c r="B221" s="15" t="s">
        <v>725</v>
      </c>
      <c r="C221" s="15" t="s">
        <v>726</v>
      </c>
      <c r="D221" s="15" t="s">
        <v>727</v>
      </c>
      <c r="E221" s="14" t="s">
        <v>413</v>
      </c>
      <c r="F221" s="14" t="s">
        <v>29</v>
      </c>
      <c r="G221" s="16">
        <f>12578.85*(1/0.94*0.96)</f>
        <v>12846.49</v>
      </c>
      <c r="H221" s="17">
        <f t="shared" si="12"/>
        <v>12846.49</v>
      </c>
    </row>
    <row r="222" ht="22.5" spans="1:8">
      <c r="A222" s="14" t="s">
        <v>56</v>
      </c>
      <c r="B222" s="15" t="s">
        <v>728</v>
      </c>
      <c r="C222" s="15" t="s">
        <v>729</v>
      </c>
      <c r="D222" s="15" t="s">
        <v>730</v>
      </c>
      <c r="E222" s="14" t="s">
        <v>413</v>
      </c>
      <c r="F222" s="14" t="s">
        <v>29</v>
      </c>
      <c r="G222" s="16">
        <f>7221.18*(1/0.94*0.96)</f>
        <v>7374.82</v>
      </c>
      <c r="H222" s="17">
        <f t="shared" si="12"/>
        <v>7374.82</v>
      </c>
    </row>
    <row r="223" ht="67.5" spans="1:8">
      <c r="A223" s="14" t="s">
        <v>62</v>
      </c>
      <c r="B223" s="15" t="s">
        <v>731</v>
      </c>
      <c r="C223" s="15" t="s">
        <v>732</v>
      </c>
      <c r="D223" s="15" t="s">
        <v>733</v>
      </c>
      <c r="E223" s="14" t="s">
        <v>413</v>
      </c>
      <c r="F223" s="14" t="s">
        <v>35</v>
      </c>
      <c r="G223" s="16">
        <f>7570.61*(1/0.94*0.96)</f>
        <v>7731.69</v>
      </c>
      <c r="H223" s="17">
        <f t="shared" si="12"/>
        <v>15463.38</v>
      </c>
    </row>
    <row r="224" ht="33.75" spans="1:8">
      <c r="A224" s="14" t="s">
        <v>67</v>
      </c>
      <c r="B224" s="15" t="s">
        <v>734</v>
      </c>
      <c r="C224" s="15" t="s">
        <v>735</v>
      </c>
      <c r="D224" s="15" t="s">
        <v>736</v>
      </c>
      <c r="E224" s="14" t="s">
        <v>413</v>
      </c>
      <c r="F224" s="14" t="s">
        <v>29</v>
      </c>
      <c r="G224" s="16">
        <f>3028.24*(1/0.94*0.96)</f>
        <v>3092.67</v>
      </c>
      <c r="H224" s="17">
        <f t="shared" si="12"/>
        <v>3092.67</v>
      </c>
    </row>
    <row r="225" spans="1:8">
      <c r="A225" s="14" t="s">
        <v>72</v>
      </c>
      <c r="B225" s="15" t="s">
        <v>737</v>
      </c>
      <c r="C225" s="15" t="s">
        <v>738</v>
      </c>
      <c r="D225" s="15" t="s">
        <v>738</v>
      </c>
      <c r="E225" s="14" t="s">
        <v>739</v>
      </c>
      <c r="F225" s="14" t="s">
        <v>29</v>
      </c>
      <c r="G225" s="16">
        <f>12648.72*(1/0.94*0.96)</f>
        <v>12917.84</v>
      </c>
      <c r="H225" s="17">
        <f t="shared" si="12"/>
        <v>12917.84</v>
      </c>
    </row>
    <row r="226" ht="22.5" spans="1:8">
      <c r="A226" s="14" t="s">
        <v>77</v>
      </c>
      <c r="B226" s="15" t="s">
        <v>740</v>
      </c>
      <c r="C226" s="15" t="s">
        <v>386</v>
      </c>
      <c r="D226" s="15" t="s">
        <v>741</v>
      </c>
      <c r="E226" s="14" t="s">
        <v>60</v>
      </c>
      <c r="F226" s="14" t="s">
        <v>742</v>
      </c>
      <c r="G226" s="16">
        <f>329.5*(1/0.94*0.96)</f>
        <v>336.51</v>
      </c>
      <c r="H226" s="17">
        <f t="shared" si="12"/>
        <v>807.62</v>
      </c>
    </row>
    <row r="227" ht="112.5" spans="1:8">
      <c r="A227" s="14" t="s">
        <v>82</v>
      </c>
      <c r="B227" s="15" t="s">
        <v>743</v>
      </c>
      <c r="C227" s="15" t="s">
        <v>386</v>
      </c>
      <c r="D227" s="15" t="s">
        <v>744</v>
      </c>
      <c r="E227" s="14" t="s">
        <v>60</v>
      </c>
      <c r="F227" s="14" t="s">
        <v>745</v>
      </c>
      <c r="G227" s="16">
        <f>843.55*(1/0.94*0.96)</f>
        <v>861.5</v>
      </c>
      <c r="H227" s="17">
        <f t="shared" si="12"/>
        <v>14361.21</v>
      </c>
    </row>
    <row r="228" ht="101.25" spans="1:8">
      <c r="A228" s="14" t="s">
        <v>87</v>
      </c>
      <c r="B228" s="15" t="s">
        <v>746</v>
      </c>
      <c r="C228" s="15" t="s">
        <v>747</v>
      </c>
      <c r="D228" s="15" t="s">
        <v>748</v>
      </c>
      <c r="E228" s="14" t="s">
        <v>413</v>
      </c>
      <c r="F228" s="14" t="s">
        <v>29</v>
      </c>
      <c r="G228" s="16">
        <f>52930.49*(1/0.94*0.96)</f>
        <v>54056.67</v>
      </c>
      <c r="H228" s="17">
        <f t="shared" si="12"/>
        <v>54056.67</v>
      </c>
    </row>
    <row r="229" ht="112.5" spans="1:8">
      <c r="A229" s="14" t="s">
        <v>92</v>
      </c>
      <c r="B229" s="15" t="s">
        <v>749</v>
      </c>
      <c r="C229" s="15" t="s">
        <v>386</v>
      </c>
      <c r="D229" s="15" t="s">
        <v>750</v>
      </c>
      <c r="E229" s="14" t="s">
        <v>60</v>
      </c>
      <c r="F229" s="14" t="s">
        <v>751</v>
      </c>
      <c r="G229" s="16">
        <f>96.32*(1/0.94*0.96)</f>
        <v>98.37</v>
      </c>
      <c r="H229" s="17">
        <f t="shared" si="12"/>
        <v>3480.33</v>
      </c>
    </row>
    <row r="230" spans="1:8">
      <c r="A230" s="14" t="s">
        <v>97</v>
      </c>
      <c r="B230" s="15" t="s">
        <v>752</v>
      </c>
      <c r="C230" s="15" t="s">
        <v>261</v>
      </c>
      <c r="D230" s="15" t="s">
        <v>753</v>
      </c>
      <c r="E230" s="14" t="s">
        <v>49</v>
      </c>
      <c r="F230" s="14" t="s">
        <v>754</v>
      </c>
      <c r="G230" s="16">
        <f>730.97*(1/0.94*0.96)</f>
        <v>746.52</v>
      </c>
      <c r="H230" s="17">
        <f t="shared" si="12"/>
        <v>5554.11</v>
      </c>
    </row>
    <row r="231" spans="1:8">
      <c r="A231" s="14" t="s">
        <v>102</v>
      </c>
      <c r="B231" s="15" t="s">
        <v>755</v>
      </c>
      <c r="C231" s="15" t="s">
        <v>756</v>
      </c>
      <c r="D231" s="15" t="s">
        <v>757</v>
      </c>
      <c r="E231" s="14" t="s">
        <v>413</v>
      </c>
      <c r="F231" s="14" t="s">
        <v>51</v>
      </c>
      <c r="G231" s="16">
        <f>2562.36*(1/0.94*0.96)</f>
        <v>2616.88</v>
      </c>
      <c r="H231" s="17">
        <f t="shared" si="12"/>
        <v>13084.4</v>
      </c>
    </row>
    <row r="232" ht="22.5" spans="1:8">
      <c r="A232" s="14" t="s">
        <v>106</v>
      </c>
      <c r="B232" s="15" t="s">
        <v>758</v>
      </c>
      <c r="C232" s="15" t="s">
        <v>759</v>
      </c>
      <c r="D232" s="15" t="s">
        <v>760</v>
      </c>
      <c r="E232" s="14" t="s">
        <v>66</v>
      </c>
      <c r="F232" s="14" t="s">
        <v>35</v>
      </c>
      <c r="G232" s="16">
        <f>25041.22*(1/0.94*0.96)</f>
        <v>25574.01</v>
      </c>
      <c r="H232" s="17">
        <f t="shared" si="12"/>
        <v>51148.02</v>
      </c>
    </row>
    <row r="233" spans="1:8">
      <c r="A233" s="14" t="s">
        <v>111</v>
      </c>
      <c r="B233" s="15" t="s">
        <v>761</v>
      </c>
      <c r="C233" s="15" t="s">
        <v>762</v>
      </c>
      <c r="D233" s="15" t="s">
        <v>763</v>
      </c>
      <c r="E233" s="14" t="s">
        <v>33</v>
      </c>
      <c r="F233" s="14" t="s">
        <v>764</v>
      </c>
      <c r="G233" s="16">
        <f>349.41*(1/0.94*0.96)</f>
        <v>356.84</v>
      </c>
      <c r="H233" s="17">
        <f t="shared" si="12"/>
        <v>7011.91</v>
      </c>
    </row>
    <row r="234" ht="33.75" spans="1:8">
      <c r="A234" s="14" t="s">
        <v>116</v>
      </c>
      <c r="B234" s="15" t="s">
        <v>765</v>
      </c>
      <c r="C234" s="15" t="s">
        <v>766</v>
      </c>
      <c r="D234" s="15" t="s">
        <v>767</v>
      </c>
      <c r="E234" s="14" t="s">
        <v>60</v>
      </c>
      <c r="F234" s="14" t="s">
        <v>768</v>
      </c>
      <c r="G234" s="16">
        <f>65.65*(1/0.94*0.96)</f>
        <v>67.05</v>
      </c>
      <c r="H234" s="17">
        <f t="shared" si="12"/>
        <v>4455.47</v>
      </c>
    </row>
    <row r="235" ht="22.5" spans="1:8">
      <c r="A235" s="14" t="s">
        <v>121</v>
      </c>
      <c r="B235" s="15" t="s">
        <v>769</v>
      </c>
      <c r="C235" s="15" t="s">
        <v>770</v>
      </c>
      <c r="D235" s="15" t="s">
        <v>132</v>
      </c>
      <c r="E235" s="14" t="s">
        <v>33</v>
      </c>
      <c r="F235" s="14" t="s">
        <v>771</v>
      </c>
      <c r="G235" s="16">
        <f>821.83*(1/0.94*0.96)</f>
        <v>839.32</v>
      </c>
      <c r="H235" s="17">
        <f t="shared" si="12"/>
        <v>8577.85</v>
      </c>
    </row>
    <row r="236" ht="22.5" spans="1:8">
      <c r="A236" s="14" t="s">
        <v>110</v>
      </c>
      <c r="B236" s="15" t="s">
        <v>772</v>
      </c>
      <c r="C236" s="15" t="s">
        <v>773</v>
      </c>
      <c r="D236" s="15" t="s">
        <v>774</v>
      </c>
      <c r="E236" s="14" t="s">
        <v>60</v>
      </c>
      <c r="F236" s="14" t="s">
        <v>775</v>
      </c>
      <c r="G236" s="16">
        <f>35.62*(1/0.94*0.96)</f>
        <v>36.38</v>
      </c>
      <c r="H236" s="17">
        <f t="shared" si="12"/>
        <v>2135.51</v>
      </c>
    </row>
    <row r="237" spans="1:8">
      <c r="A237" s="14" t="s">
        <v>129</v>
      </c>
      <c r="B237" s="15" t="s">
        <v>776</v>
      </c>
      <c r="C237" s="15" t="s">
        <v>777</v>
      </c>
      <c r="D237" s="15" t="s">
        <v>778</v>
      </c>
      <c r="E237" s="14" t="s">
        <v>66</v>
      </c>
      <c r="F237" s="14" t="s">
        <v>67</v>
      </c>
      <c r="G237" s="16">
        <f>505.78*(1/0.94*0.96)</f>
        <v>516.54</v>
      </c>
      <c r="H237" s="17">
        <f t="shared" si="12"/>
        <v>4132.32</v>
      </c>
    </row>
    <row r="238" ht="45" spans="1:8">
      <c r="A238" s="14" t="s">
        <v>134</v>
      </c>
      <c r="B238" s="15" t="s">
        <v>779</v>
      </c>
      <c r="C238" s="15" t="s">
        <v>780</v>
      </c>
      <c r="D238" s="15" t="s">
        <v>781</v>
      </c>
      <c r="E238" s="14" t="s">
        <v>33</v>
      </c>
      <c r="F238" s="14" t="s">
        <v>782</v>
      </c>
      <c r="G238" s="16">
        <f>121.93*(1/0.94*0.96)</f>
        <v>124.52</v>
      </c>
      <c r="H238" s="17">
        <f t="shared" si="12"/>
        <v>9961.6</v>
      </c>
    </row>
    <row r="239" ht="56.25" spans="1:8">
      <c r="A239" s="14" t="s">
        <v>139</v>
      </c>
      <c r="B239" s="15" t="s">
        <v>783</v>
      </c>
      <c r="C239" s="15" t="s">
        <v>784</v>
      </c>
      <c r="D239" s="15" t="s">
        <v>785</v>
      </c>
      <c r="E239" s="14" t="s">
        <v>60</v>
      </c>
      <c r="F239" s="14" t="s">
        <v>786</v>
      </c>
      <c r="G239" s="16">
        <f>143.11*(1/0.94*0.96)</f>
        <v>146.15</v>
      </c>
      <c r="H239" s="17">
        <f t="shared" si="12"/>
        <v>48710.33</v>
      </c>
    </row>
    <row r="240" ht="22.5" spans="1:8">
      <c r="A240" s="14" t="s">
        <v>143</v>
      </c>
      <c r="B240" s="15" t="s">
        <v>787</v>
      </c>
      <c r="C240" s="15" t="s">
        <v>788</v>
      </c>
      <c r="D240" s="15" t="s">
        <v>789</v>
      </c>
      <c r="E240" s="14" t="s">
        <v>60</v>
      </c>
      <c r="F240" s="14" t="s">
        <v>786</v>
      </c>
      <c r="G240" s="16">
        <f>93.68*(1/0.94*0.96)</f>
        <v>95.67</v>
      </c>
      <c r="H240" s="17">
        <f t="shared" si="12"/>
        <v>31885.85</v>
      </c>
    </row>
    <row r="241" ht="22.5" spans="1:8">
      <c r="A241" s="14" t="s">
        <v>148</v>
      </c>
      <c r="B241" s="15" t="s">
        <v>790</v>
      </c>
      <c r="C241" s="15" t="s">
        <v>791</v>
      </c>
      <c r="D241" s="15" t="s">
        <v>792</v>
      </c>
      <c r="E241" s="14" t="s">
        <v>447</v>
      </c>
      <c r="F241" s="14" t="s">
        <v>29</v>
      </c>
      <c r="G241" s="16">
        <f>50664.79*(1/0.94*0.96)</f>
        <v>51742.76</v>
      </c>
      <c r="H241" s="17">
        <f t="shared" si="12"/>
        <v>51742.76</v>
      </c>
    </row>
    <row r="242" ht="22.5" spans="1:8">
      <c r="A242" s="14" t="s">
        <v>152</v>
      </c>
      <c r="B242" s="15" t="s">
        <v>793</v>
      </c>
      <c r="C242" s="15" t="s">
        <v>794</v>
      </c>
      <c r="D242" s="15" t="s">
        <v>795</v>
      </c>
      <c r="E242" s="14" t="s">
        <v>447</v>
      </c>
      <c r="F242" s="14" t="s">
        <v>29</v>
      </c>
      <c r="G242" s="16">
        <f>3494.12*(1/0.94*0.96)</f>
        <v>3568.46</v>
      </c>
      <c r="H242" s="17">
        <f t="shared" si="12"/>
        <v>3568.46</v>
      </c>
    </row>
    <row r="243" ht="78.75" spans="1:8">
      <c r="A243" s="14" t="s">
        <v>156</v>
      </c>
      <c r="B243" s="15" t="s">
        <v>796</v>
      </c>
      <c r="C243" s="15" t="s">
        <v>797</v>
      </c>
      <c r="D243" s="15" t="s">
        <v>798</v>
      </c>
      <c r="E243" s="14" t="s">
        <v>447</v>
      </c>
      <c r="F243" s="14" t="s">
        <v>29</v>
      </c>
      <c r="G243" s="16">
        <f>169200*(1/0.94*0.96)</f>
        <v>172800</v>
      </c>
      <c r="H243" s="17">
        <f t="shared" si="12"/>
        <v>172800</v>
      </c>
    </row>
    <row r="244" ht="78.75" spans="1:8">
      <c r="A244" s="14" t="s">
        <v>160</v>
      </c>
      <c r="B244" s="15" t="s">
        <v>799</v>
      </c>
      <c r="C244" s="15" t="s">
        <v>800</v>
      </c>
      <c r="D244" s="15" t="s">
        <v>801</v>
      </c>
      <c r="E244" s="14" t="s">
        <v>49</v>
      </c>
      <c r="F244" s="14" t="s">
        <v>802</v>
      </c>
      <c r="G244" s="16">
        <f>953.54*(1/0.94*0.96)</f>
        <v>973.83</v>
      </c>
      <c r="H244" s="17">
        <f t="shared" si="12"/>
        <v>1353.62</v>
      </c>
    </row>
    <row r="245" ht="67.5" spans="1:8">
      <c r="A245" s="14" t="s">
        <v>44</v>
      </c>
      <c r="B245" s="15" t="s">
        <v>803</v>
      </c>
      <c r="C245" s="15" t="s">
        <v>804</v>
      </c>
      <c r="D245" s="15" t="s">
        <v>805</v>
      </c>
      <c r="E245" s="14" t="s">
        <v>49</v>
      </c>
      <c r="F245" s="14" t="s">
        <v>806</v>
      </c>
      <c r="G245" s="16">
        <f>735.49*(1/0.94*0.96)</f>
        <v>751.14</v>
      </c>
      <c r="H245" s="17">
        <f t="shared" si="12"/>
        <v>2110.7</v>
      </c>
    </row>
    <row r="246" spans="1:8">
      <c r="A246" s="14" t="s">
        <v>168</v>
      </c>
      <c r="B246" s="15" t="s">
        <v>807</v>
      </c>
      <c r="C246" s="15" t="s">
        <v>808</v>
      </c>
      <c r="D246" s="15" t="s">
        <v>132</v>
      </c>
      <c r="E246" s="14" t="s">
        <v>33</v>
      </c>
      <c r="F246" s="14" t="s">
        <v>809</v>
      </c>
      <c r="G246" s="16">
        <f>33.64*(1/0.94*0.96)</f>
        <v>34.36</v>
      </c>
      <c r="H246" s="17">
        <f t="shared" si="12"/>
        <v>847.32</v>
      </c>
    </row>
    <row r="247" spans="1:8">
      <c r="A247" s="14" t="s">
        <v>172</v>
      </c>
      <c r="B247" s="15" t="s">
        <v>810</v>
      </c>
      <c r="C247" s="15" t="s">
        <v>811</v>
      </c>
      <c r="D247" s="15" t="s">
        <v>132</v>
      </c>
      <c r="E247" s="14" t="s">
        <v>33</v>
      </c>
      <c r="F247" s="14" t="s">
        <v>809</v>
      </c>
      <c r="G247" s="16">
        <f>127.45*(1/0.94*0.96)</f>
        <v>130.16</v>
      </c>
      <c r="H247" s="17">
        <f t="shared" si="12"/>
        <v>3209.75</v>
      </c>
    </row>
    <row r="248" ht="45" spans="1:8">
      <c r="A248" s="14" t="s">
        <v>176</v>
      </c>
      <c r="B248" s="15" t="s">
        <v>812</v>
      </c>
      <c r="C248" s="15" t="s">
        <v>813</v>
      </c>
      <c r="D248" s="15" t="s">
        <v>814</v>
      </c>
      <c r="E248" s="14" t="s">
        <v>60</v>
      </c>
      <c r="F248" s="14" t="s">
        <v>498</v>
      </c>
      <c r="G248" s="16">
        <f>69.8*(1/0.94*0.96)</f>
        <v>71.29</v>
      </c>
      <c r="H248" s="17">
        <f t="shared" si="12"/>
        <v>4277.4</v>
      </c>
    </row>
    <row r="249" spans="1:8">
      <c r="A249" s="14" t="s">
        <v>180</v>
      </c>
      <c r="B249" s="15" t="s">
        <v>815</v>
      </c>
      <c r="C249" s="15" t="s">
        <v>816</v>
      </c>
      <c r="D249" s="15" t="s">
        <v>817</v>
      </c>
      <c r="E249" s="14" t="s">
        <v>33</v>
      </c>
      <c r="F249" s="14" t="s">
        <v>168</v>
      </c>
      <c r="G249" s="16">
        <f>135.15*(1/0.94*0.96)</f>
        <v>138.03</v>
      </c>
      <c r="H249" s="17">
        <f t="shared" si="12"/>
        <v>4140.9</v>
      </c>
    </row>
    <row r="250" ht="45" spans="1:8">
      <c r="A250" s="14" t="s">
        <v>183</v>
      </c>
      <c r="B250" s="15" t="s">
        <v>818</v>
      </c>
      <c r="C250" s="15" t="s">
        <v>819</v>
      </c>
      <c r="D250" s="15" t="s">
        <v>820</v>
      </c>
      <c r="E250" s="14" t="s">
        <v>49</v>
      </c>
      <c r="F250" s="14" t="s">
        <v>821</v>
      </c>
      <c r="G250" s="16">
        <f>2323.22*(1/0.94*0.96)</f>
        <v>2372.65</v>
      </c>
      <c r="H250" s="17">
        <f t="shared" si="12"/>
        <v>2301.47</v>
      </c>
    </row>
    <row r="251" spans="1:8">
      <c r="A251" s="14" t="s">
        <v>187</v>
      </c>
      <c r="B251" s="15" t="s">
        <v>822</v>
      </c>
      <c r="C251" s="15" t="s">
        <v>823</v>
      </c>
      <c r="D251" s="15" t="s">
        <v>824</v>
      </c>
      <c r="E251" s="14" t="s">
        <v>33</v>
      </c>
      <c r="F251" s="14" t="s">
        <v>547</v>
      </c>
      <c r="G251" s="16">
        <f>4.29*(1/0.94*0.96)</f>
        <v>4.38</v>
      </c>
      <c r="H251" s="17">
        <f t="shared" si="12"/>
        <v>219</v>
      </c>
    </row>
    <row r="252" ht="22.5" spans="1:8">
      <c r="A252" s="14" t="s">
        <v>191</v>
      </c>
      <c r="B252" s="15" t="s">
        <v>825</v>
      </c>
      <c r="C252" s="15" t="s">
        <v>826</v>
      </c>
      <c r="D252" s="15" t="s">
        <v>827</v>
      </c>
      <c r="E252" s="14" t="s">
        <v>739</v>
      </c>
      <c r="F252" s="14" t="s">
        <v>29</v>
      </c>
      <c r="G252" s="16">
        <f>1097*(1/0.94*0.96)</f>
        <v>1120.34</v>
      </c>
      <c r="H252" s="17">
        <f t="shared" si="12"/>
        <v>1120.34</v>
      </c>
    </row>
    <row r="253" ht="33.75" spans="1:8">
      <c r="A253" s="14" t="s">
        <v>196</v>
      </c>
      <c r="B253" s="15" t="s">
        <v>828</v>
      </c>
      <c r="C253" s="15" t="s">
        <v>507</v>
      </c>
      <c r="D253" s="15" t="s">
        <v>829</v>
      </c>
      <c r="E253" s="14" t="s">
        <v>33</v>
      </c>
      <c r="F253" s="14" t="s">
        <v>830</v>
      </c>
      <c r="G253" s="16">
        <f>6.65*(1/0.94*0.96)</f>
        <v>6.79</v>
      </c>
      <c r="H253" s="17">
        <f t="shared" si="12"/>
        <v>1534.54</v>
      </c>
    </row>
    <row r="254" spans="1:8">
      <c r="A254" s="14" t="s">
        <v>199</v>
      </c>
      <c r="B254" s="15" t="s">
        <v>831</v>
      </c>
      <c r="C254" s="15" t="s">
        <v>525</v>
      </c>
      <c r="D254" s="15" t="s">
        <v>832</v>
      </c>
      <c r="E254" s="14" t="s">
        <v>33</v>
      </c>
      <c r="F254" s="14" t="s">
        <v>830</v>
      </c>
      <c r="G254" s="16">
        <f>4.65*(1/0.94*0.96)</f>
        <v>4.75</v>
      </c>
      <c r="H254" s="17">
        <f t="shared" si="12"/>
        <v>1073.5</v>
      </c>
    </row>
    <row r="255" ht="33.75" spans="1:8">
      <c r="A255" s="14" t="s">
        <v>203</v>
      </c>
      <c r="B255" s="15" t="s">
        <v>833</v>
      </c>
      <c r="C255" s="15" t="s">
        <v>834</v>
      </c>
      <c r="D255" s="15" t="s">
        <v>132</v>
      </c>
      <c r="E255" s="14" t="s">
        <v>66</v>
      </c>
      <c r="F255" s="14" t="s">
        <v>51</v>
      </c>
      <c r="G255" s="16">
        <f>372.71*(1/0.94*0.96)</f>
        <v>380.64</v>
      </c>
      <c r="H255" s="17">
        <f t="shared" si="12"/>
        <v>1903.2</v>
      </c>
    </row>
    <row r="256" ht="22.5" spans="1:8">
      <c r="A256" s="14" t="s">
        <v>206</v>
      </c>
      <c r="B256" s="15" t="s">
        <v>835</v>
      </c>
      <c r="C256" s="15" t="s">
        <v>836</v>
      </c>
      <c r="D256" s="15" t="s">
        <v>837</v>
      </c>
      <c r="E256" s="14" t="s">
        <v>33</v>
      </c>
      <c r="F256" s="14">
        <v>32.16</v>
      </c>
      <c r="G256" s="16">
        <f>106.09*(1/0.94*0.96)</f>
        <v>108.35</v>
      </c>
      <c r="H256" s="17">
        <f t="shared" si="12"/>
        <v>3484.54</v>
      </c>
    </row>
    <row r="257" spans="1:8">
      <c r="A257" s="14"/>
      <c r="B257" s="15"/>
      <c r="C257" s="15"/>
      <c r="D257" s="15"/>
      <c r="E257" s="14"/>
      <c r="F257" s="19" t="s">
        <v>499</v>
      </c>
      <c r="G257" s="20"/>
      <c r="H257" s="19">
        <f>SUM(H217:H255)</f>
        <v>611030.9</v>
      </c>
    </row>
    <row r="258" ht="30" customHeight="1" spans="1:8">
      <c r="A258" s="21" t="s">
        <v>11</v>
      </c>
      <c r="B258" s="22" t="s">
        <v>12</v>
      </c>
      <c r="C258" s="22"/>
      <c r="D258" s="22"/>
      <c r="E258" s="22"/>
      <c r="F258" s="22"/>
      <c r="G258" s="23"/>
      <c r="H258" s="24">
        <v>100000</v>
      </c>
    </row>
    <row r="259" ht="24" customHeight="1" spans="1:8">
      <c r="A259" s="21" t="s">
        <v>14</v>
      </c>
      <c r="B259" s="22" t="s">
        <v>15</v>
      </c>
      <c r="C259" s="22"/>
      <c r="D259" s="22"/>
      <c r="E259" s="22"/>
      <c r="F259" s="22"/>
      <c r="G259" s="23"/>
      <c r="H259" s="24">
        <v>40000</v>
      </c>
    </row>
    <row r="260" ht="25" customHeight="1" spans="1:8">
      <c r="A260" s="25"/>
      <c r="B260" s="26" t="s">
        <v>838</v>
      </c>
      <c r="C260" s="27"/>
      <c r="D260" s="27"/>
      <c r="E260" s="27"/>
      <c r="F260" s="27"/>
      <c r="G260" s="28"/>
      <c r="H260" s="29">
        <f>H259+H258+H257+H215+H133</f>
        <v>1430193</v>
      </c>
    </row>
  </sheetData>
  <autoFilter xmlns:etc="http://www.wps.cn/officeDocument/2017/etCustomData" ref="A1:H260" etc:filterBottomFollowUsedRange="0">
    <extLst/>
  </autoFilter>
  <mergeCells count="26">
    <mergeCell ref="A1:H1"/>
    <mergeCell ref="A2:H2"/>
    <mergeCell ref="G3:H3"/>
    <mergeCell ref="A5:F5"/>
    <mergeCell ref="A54:F54"/>
    <mergeCell ref="A70:F70"/>
    <mergeCell ref="A75:F75"/>
    <mergeCell ref="A86:F86"/>
    <mergeCell ref="A110:F110"/>
    <mergeCell ref="A125:F125"/>
    <mergeCell ref="A134:F134"/>
    <mergeCell ref="A135:F135"/>
    <mergeCell ref="A167:F167"/>
    <mergeCell ref="A176:F176"/>
    <mergeCell ref="A183:F183"/>
    <mergeCell ref="A194:F194"/>
    <mergeCell ref="A216:F216"/>
    <mergeCell ref="B258:G258"/>
    <mergeCell ref="B259:G259"/>
    <mergeCell ref="B260:G260"/>
    <mergeCell ref="A3:A4"/>
    <mergeCell ref="B3:B4"/>
    <mergeCell ref="C3:C4"/>
    <mergeCell ref="D3:D4"/>
    <mergeCell ref="E3:E4"/>
    <mergeCell ref="F3:F4"/>
  </mergeCells>
  <pageMargins left="0.61" right="0.22" top="0.41" bottom="0.41" header="0" footer="0"/>
  <pageSetup paperSize="9" fitToWidth="0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采购控制价汇总</vt:lpstr>
      <vt:lpstr>1-1泉厦高速晋江服务驿站项目（控制价）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张向莉</cp:lastModifiedBy>
  <dcterms:created xsi:type="dcterms:W3CDTF">2025-12-03T10:51:00Z</dcterms:created>
  <dcterms:modified xsi:type="dcterms:W3CDTF">2026-04-09T11:19:07Z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EEE63BECFA0F43AEA09997D7E455AEB0_13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